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15"/>
  </bookViews>
  <sheets>
    <sheet name="Д1-А" sheetId="19" r:id="rId1"/>
    <sheet name="Д5-1" sheetId="20" r:id="rId2"/>
    <sheet name="Д22" sheetId="21" r:id="rId3"/>
    <sheet name="Л11" sheetId="22" r:id="rId4"/>
    <sheet name="Л12" sheetId="23" r:id="rId5"/>
    <sheet name="Л13-А" sheetId="24" r:id="rId6"/>
    <sheet name="Л14" sheetId="25" r:id="rId7"/>
    <sheet name="Л15-2" sheetId="26" r:id="rId8"/>
    <sheet name="Л16" sheetId="27" r:id="rId9"/>
    <sheet name="Л23" sheetId="28" r:id="rId10"/>
    <sheet name="Пр16" sheetId="30" r:id="rId11"/>
    <sheet name="С83" sheetId="29" r:id="rId12"/>
    <sheet name="С83-А " sheetId="37" r:id="rId13"/>
    <sheet name="С85" sheetId="35" r:id="rId14"/>
    <sheet name="С108" sheetId="33" r:id="rId15"/>
    <sheet name="С110" sheetId="34" r:id="rId16"/>
  </sheets>
  <calcPr calcId="124519"/>
</workbook>
</file>

<file path=xl/calcChain.xml><?xml version="1.0" encoding="utf-8"?>
<calcChain xmlns="http://schemas.openxmlformats.org/spreadsheetml/2006/main">
  <c r="D139" i="34"/>
  <c r="D138"/>
  <c r="D135"/>
  <c r="D134"/>
  <c r="D131"/>
  <c r="D132" s="1"/>
  <c r="D130"/>
  <c r="C139"/>
  <c r="C140" s="1"/>
  <c r="C138"/>
  <c r="D140"/>
  <c r="C136"/>
  <c r="C135"/>
  <c r="C134"/>
  <c r="C132"/>
  <c r="C131"/>
  <c r="C130"/>
  <c r="D146" i="33"/>
  <c r="D145"/>
  <c r="D142"/>
  <c r="D141"/>
  <c r="D138"/>
  <c r="D137"/>
  <c r="C146"/>
  <c r="C147" s="1"/>
  <c r="C145"/>
  <c r="C142"/>
  <c r="C143" s="1"/>
  <c r="C141"/>
  <c r="D147"/>
  <c r="C139"/>
  <c r="C138"/>
  <c r="C137"/>
  <c r="C138" i="35"/>
  <c r="C137"/>
  <c r="D137"/>
  <c r="D134"/>
  <c r="D133"/>
  <c r="D130"/>
  <c r="D129"/>
  <c r="C134"/>
  <c r="C135" s="1"/>
  <c r="C133"/>
  <c r="D131"/>
  <c r="C131"/>
  <c r="C130"/>
  <c r="C129"/>
  <c r="D128" i="37"/>
  <c r="D139"/>
  <c r="D138"/>
  <c r="D135"/>
  <c r="D134"/>
  <c r="D131"/>
  <c r="D132" s="1"/>
  <c r="D130"/>
  <c r="C128"/>
  <c r="C139"/>
  <c r="C138"/>
  <c r="C135"/>
  <c r="C136" s="1"/>
  <c r="C134"/>
  <c r="D136"/>
  <c r="C132"/>
  <c r="C131"/>
  <c r="C130"/>
  <c r="D138" i="29"/>
  <c r="D137"/>
  <c r="D134"/>
  <c r="D133"/>
  <c r="D130"/>
  <c r="D129"/>
  <c r="D139"/>
  <c r="C139"/>
  <c r="C138"/>
  <c r="C137"/>
  <c r="C135"/>
  <c r="C134"/>
  <c r="C133"/>
  <c r="C129"/>
  <c r="C130" s="1"/>
  <c r="D145" i="30"/>
  <c r="D144"/>
  <c r="D141"/>
  <c r="D140"/>
  <c r="D142" s="1"/>
  <c r="D137"/>
  <c r="D136"/>
  <c r="C145"/>
  <c r="C146" s="1"/>
  <c r="C144"/>
  <c r="C141"/>
  <c r="C142" s="1"/>
  <c r="C140"/>
  <c r="C138"/>
  <c r="C137"/>
  <c r="C136"/>
  <c r="D138" i="28"/>
  <c r="D137"/>
  <c r="D134"/>
  <c r="D133"/>
  <c r="D130"/>
  <c r="D129"/>
  <c r="C138"/>
  <c r="C139" s="1"/>
  <c r="C137"/>
  <c r="C134"/>
  <c r="C133"/>
  <c r="C131"/>
  <c r="C130"/>
  <c r="C129"/>
  <c r="D145" i="27"/>
  <c r="D144"/>
  <c r="D141"/>
  <c r="D140"/>
  <c r="D137"/>
  <c r="D136"/>
  <c r="C145"/>
  <c r="C144"/>
  <c r="C141"/>
  <c r="C140"/>
  <c r="C138"/>
  <c r="C137"/>
  <c r="C136"/>
  <c r="D146" i="26"/>
  <c r="D145"/>
  <c r="D142"/>
  <c r="D141"/>
  <c r="D138"/>
  <c r="D139" s="1"/>
  <c r="D137"/>
  <c r="C146"/>
  <c r="C147" s="1"/>
  <c r="C145"/>
  <c r="C143"/>
  <c r="C142"/>
  <c r="C141"/>
  <c r="C139"/>
  <c r="C138"/>
  <c r="C137"/>
  <c r="D145" i="25"/>
  <c r="D144"/>
  <c r="D141"/>
  <c r="D140"/>
  <c r="D137"/>
  <c r="D136"/>
  <c r="C146"/>
  <c r="C145"/>
  <c r="C144"/>
  <c r="C142"/>
  <c r="C141"/>
  <c r="C140"/>
  <c r="C138"/>
  <c r="C137"/>
  <c r="C136"/>
  <c r="D136" i="34" l="1"/>
  <c r="D143" i="33"/>
  <c r="C139" i="35"/>
  <c r="D138"/>
  <c r="D139" s="1"/>
  <c r="D135"/>
  <c r="D140" i="37"/>
  <c r="D135" i="29"/>
  <c r="C131"/>
  <c r="D146" i="30"/>
  <c r="D138"/>
  <c r="D139" i="28"/>
  <c r="D135"/>
  <c r="D131"/>
  <c r="C135"/>
  <c r="D146" i="27"/>
  <c r="D142"/>
  <c r="D138"/>
  <c r="C146"/>
  <c r="C142"/>
  <c r="D147" i="26"/>
  <c r="D143"/>
  <c r="D146" i="25"/>
  <c r="D142"/>
  <c r="D138"/>
  <c r="C137" i="24"/>
  <c r="D137" s="1"/>
  <c r="C134"/>
  <c r="D134" s="1"/>
  <c r="C133"/>
  <c r="D133" s="1"/>
  <c r="C129"/>
  <c r="D129" s="1"/>
  <c r="D140" i="23"/>
  <c r="C144"/>
  <c r="D144" s="1"/>
  <c r="C141"/>
  <c r="D141" s="1"/>
  <c r="C140"/>
  <c r="C142" s="1"/>
  <c r="C136"/>
  <c r="D136" s="1"/>
  <c r="D133" i="22"/>
  <c r="C137"/>
  <c r="D137" s="1"/>
  <c r="C134"/>
  <c r="D134" s="1"/>
  <c r="C133"/>
  <c r="C135" s="1"/>
  <c r="C129"/>
  <c r="D129" s="1"/>
  <c r="C138" i="21"/>
  <c r="D138" s="1"/>
  <c r="C135"/>
  <c r="D135" s="1"/>
  <c r="C134"/>
  <c r="D134" s="1"/>
  <c r="D136" s="1"/>
  <c r="C130"/>
  <c r="D130" s="1"/>
  <c r="C139" i="20"/>
  <c r="C140" s="1"/>
  <c r="D140" s="1"/>
  <c r="C135"/>
  <c r="D135" s="1"/>
  <c r="C131"/>
  <c r="D131" s="1"/>
  <c r="D145" i="19"/>
  <c r="C146"/>
  <c r="D146" s="1"/>
  <c r="C145"/>
  <c r="C147" s="1"/>
  <c r="C141"/>
  <c r="C137"/>
  <c r="C14" i="22"/>
  <c r="C144" i="21"/>
  <c r="C149" i="30"/>
  <c r="C105" i="37"/>
  <c r="C142"/>
  <c r="D147" i="19" l="1"/>
  <c r="D135" i="22"/>
  <c r="D142" i="23"/>
  <c r="C141" i="20"/>
  <c r="D139"/>
  <c r="D141" s="1"/>
  <c r="C132"/>
  <c r="D132" s="1"/>
  <c r="D133" s="1"/>
  <c r="C136"/>
  <c r="D136" s="1"/>
  <c r="D137" s="1"/>
  <c r="C131" i="21"/>
  <c r="D131" s="1"/>
  <c r="D132" s="1"/>
  <c r="C136"/>
  <c r="C139"/>
  <c r="D139" s="1"/>
  <c r="D140" s="1"/>
  <c r="C130" i="22"/>
  <c r="D130" s="1"/>
  <c r="D131" s="1"/>
  <c r="C138"/>
  <c r="D138" s="1"/>
  <c r="D139" s="1"/>
  <c r="C137" i="23"/>
  <c r="D137" s="1"/>
  <c r="D138" s="1"/>
  <c r="C145"/>
  <c r="D145" s="1"/>
  <c r="D146" s="1"/>
  <c r="C130" i="24"/>
  <c r="D130" s="1"/>
  <c r="D131" s="1"/>
  <c r="D135"/>
  <c r="C135"/>
  <c r="C138"/>
  <c r="D138" s="1"/>
  <c r="D139" s="1"/>
  <c r="C142" i="19"/>
  <c r="D142" s="1"/>
  <c r="D141"/>
  <c r="D143" s="1"/>
  <c r="D137"/>
  <c r="C138"/>
  <c r="D138" s="1"/>
  <c r="C106" i="20"/>
  <c r="C139" i="24" l="1"/>
  <c r="C131"/>
  <c r="C138" i="23"/>
  <c r="C131" i="22"/>
  <c r="C132" i="21"/>
  <c r="C133" i="20"/>
  <c r="C146" i="23"/>
  <c r="C139" i="22"/>
  <c r="C140" i="21"/>
  <c r="C137" i="20"/>
  <c r="C143" i="19"/>
  <c r="C139"/>
  <c r="C145" i="20"/>
  <c r="C143" i="24"/>
  <c r="C144" i="37" l="1"/>
  <c r="C140"/>
  <c r="C120"/>
  <c r="D120" s="1"/>
  <c r="C119"/>
  <c r="D119" s="1"/>
  <c r="C117"/>
  <c r="C108"/>
  <c r="D108" s="1"/>
  <c r="C107"/>
  <c r="D107" s="1"/>
  <c r="C95"/>
  <c r="C86"/>
  <c r="D86" s="1"/>
  <c r="C84"/>
  <c r="C75"/>
  <c r="D75" s="1"/>
  <c r="C73"/>
  <c r="D64"/>
  <c r="C63"/>
  <c r="D63" s="1"/>
  <c r="C61"/>
  <c r="C51"/>
  <c r="D51" s="1"/>
  <c r="C49"/>
  <c r="D49" s="1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D36" s="1"/>
  <c r="C16"/>
  <c r="D16" s="1"/>
  <c r="C14"/>
  <c r="D14" s="1"/>
  <c r="D15" l="1"/>
  <c r="D17" s="1"/>
  <c r="D37"/>
  <c r="D38" s="1"/>
  <c r="C15"/>
  <c r="C17" s="1"/>
  <c r="C36"/>
  <c r="C50"/>
  <c r="D50" s="1"/>
  <c r="D52" s="1"/>
  <c r="C52"/>
  <c r="C62"/>
  <c r="D62" s="1"/>
  <c r="D73"/>
  <c r="D84"/>
  <c r="D95"/>
  <c r="D105"/>
  <c r="D117"/>
  <c r="D61"/>
  <c r="D65" s="1"/>
  <c r="C74"/>
  <c r="D74" s="1"/>
  <c r="C85"/>
  <c r="C87" s="1"/>
  <c r="C96"/>
  <c r="C97" s="1"/>
  <c r="C106"/>
  <c r="D106" s="1"/>
  <c r="C118"/>
  <c r="D118" s="1"/>
  <c r="C98" l="1"/>
  <c r="C99" s="1"/>
  <c r="D53"/>
  <c r="D54" s="1"/>
  <c r="D18"/>
  <c r="D19" s="1"/>
  <c r="C88"/>
  <c r="C89" s="1"/>
  <c r="D39"/>
  <c r="D40" s="1"/>
  <c r="D66"/>
  <c r="D67" s="1"/>
  <c r="D96"/>
  <c r="D97" s="1"/>
  <c r="C53"/>
  <c r="C54" s="1"/>
  <c r="C37"/>
  <c r="C38" s="1"/>
  <c r="D121"/>
  <c r="D76"/>
  <c r="C76"/>
  <c r="C109"/>
  <c r="D85"/>
  <c r="D87" s="1"/>
  <c r="C18"/>
  <c r="C19" s="1"/>
  <c r="D109"/>
  <c r="C121"/>
  <c r="C65"/>
  <c r="C15" i="22"/>
  <c r="C146" i="28"/>
  <c r="D20" i="37" l="1"/>
  <c r="D21" s="1"/>
  <c r="D55"/>
  <c r="D56" s="1"/>
  <c r="C100"/>
  <c r="C101" s="1"/>
  <c r="C94" s="1"/>
  <c r="C122"/>
  <c r="D122" s="1"/>
  <c r="C110"/>
  <c r="D110" s="1"/>
  <c r="D77"/>
  <c r="D78" s="1"/>
  <c r="C66"/>
  <c r="C67" s="1"/>
  <c r="C20"/>
  <c r="C21" s="1"/>
  <c r="D88"/>
  <c r="D89" s="1"/>
  <c r="C77"/>
  <c r="C78" s="1"/>
  <c r="C39"/>
  <c r="C40" s="1"/>
  <c r="C55"/>
  <c r="C56" s="1"/>
  <c r="D98"/>
  <c r="D99" s="1"/>
  <c r="D68"/>
  <c r="D69" s="1"/>
  <c r="D41"/>
  <c r="D42" s="1"/>
  <c r="D24" s="1"/>
  <c r="C90"/>
  <c r="C91" s="1"/>
  <c r="D111"/>
  <c r="D123"/>
  <c r="C151" i="33"/>
  <c r="C145" i="21"/>
  <c r="C146" i="20"/>
  <c r="C14" i="35"/>
  <c r="C15" s="1"/>
  <c r="C119"/>
  <c r="D119" s="1"/>
  <c r="C118"/>
  <c r="D118" s="1"/>
  <c r="C116"/>
  <c r="D116" s="1"/>
  <c r="C107"/>
  <c r="D107" s="1"/>
  <c r="C106"/>
  <c r="D106" s="1"/>
  <c r="C104"/>
  <c r="D104" s="1"/>
  <c r="C94"/>
  <c r="D94" s="1"/>
  <c r="C85"/>
  <c r="D85" s="1"/>
  <c r="C83"/>
  <c r="D83" s="1"/>
  <c r="C74"/>
  <c r="D74" s="1"/>
  <c r="C72"/>
  <c r="D72" s="1"/>
  <c r="C63"/>
  <c r="D63" s="1"/>
  <c r="C61"/>
  <c r="D61" s="1"/>
  <c r="C51"/>
  <c r="D51" s="1"/>
  <c r="C49"/>
  <c r="D49" s="1"/>
  <c r="C46"/>
  <c r="D45"/>
  <c r="D44"/>
  <c r="C43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16"/>
  <c r="D16" s="1"/>
  <c r="D14"/>
  <c r="D46" l="1"/>
  <c r="D43" s="1"/>
  <c r="D100" i="37"/>
  <c r="D101" s="1"/>
  <c r="D94" s="1"/>
  <c r="C41"/>
  <c r="C42" s="1"/>
  <c r="C24" s="1"/>
  <c r="D90"/>
  <c r="D91" s="1"/>
  <c r="C68"/>
  <c r="C69" s="1"/>
  <c r="D22"/>
  <c r="D23" s="1"/>
  <c r="D13" s="1"/>
  <c r="D12" s="1"/>
  <c r="C92"/>
  <c r="C93" s="1"/>
  <c r="C83" s="1"/>
  <c r="D70"/>
  <c r="D71" s="1"/>
  <c r="D60" s="1"/>
  <c r="C57"/>
  <c r="C58" s="1"/>
  <c r="C48" s="1"/>
  <c r="C79"/>
  <c r="C80" s="1"/>
  <c r="C22"/>
  <c r="C23" s="1"/>
  <c r="C13" s="1"/>
  <c r="C12" s="1"/>
  <c r="D79"/>
  <c r="D80" s="1"/>
  <c r="D57"/>
  <c r="D58" s="1"/>
  <c r="D48" s="1"/>
  <c r="C111"/>
  <c r="C123"/>
  <c r="D84" i="35"/>
  <c r="D86" s="1"/>
  <c r="D95"/>
  <c r="D96" s="1"/>
  <c r="D15"/>
  <c r="D17" s="1"/>
  <c r="D36"/>
  <c r="C17"/>
  <c r="C36"/>
  <c r="C50"/>
  <c r="D50" s="1"/>
  <c r="D52" s="1"/>
  <c r="C62"/>
  <c r="D62" s="1"/>
  <c r="D64" s="1"/>
  <c r="C73"/>
  <c r="D73" s="1"/>
  <c r="D75" s="1"/>
  <c r="C84"/>
  <c r="C86" s="1"/>
  <c r="C95"/>
  <c r="C96" s="1"/>
  <c r="C105"/>
  <c r="D105" s="1"/>
  <c r="D108" s="1"/>
  <c r="C117"/>
  <c r="D117" s="1"/>
  <c r="D120" s="1"/>
  <c r="D64" i="34"/>
  <c r="D64" i="33"/>
  <c r="D64" i="26"/>
  <c r="D64" i="21"/>
  <c r="D64" i="20"/>
  <c r="D64" i="19"/>
  <c r="C104" i="33"/>
  <c r="C105" s="1"/>
  <c r="D103"/>
  <c r="C103" i="30"/>
  <c r="C104" s="1"/>
  <c r="D102"/>
  <c r="C103" i="27"/>
  <c r="C104" s="1"/>
  <c r="D102"/>
  <c r="C104" i="26"/>
  <c r="C105" s="1"/>
  <c r="D103"/>
  <c r="C103" i="25"/>
  <c r="C104" s="1"/>
  <c r="D102"/>
  <c r="C103" i="23"/>
  <c r="C104" s="1"/>
  <c r="D102"/>
  <c r="D103" i="19"/>
  <c r="D104" s="1"/>
  <c r="C104"/>
  <c r="C105" s="1"/>
  <c r="C120" i="35" l="1"/>
  <c r="C108"/>
  <c r="C75"/>
  <c r="C64"/>
  <c r="C52"/>
  <c r="D81" i="37"/>
  <c r="D82" s="1"/>
  <c r="D72" s="1"/>
  <c r="C81"/>
  <c r="C82" s="1"/>
  <c r="C72" s="1"/>
  <c r="D92"/>
  <c r="D93" s="1"/>
  <c r="D83" s="1"/>
  <c r="C70"/>
  <c r="C71" s="1"/>
  <c r="C60" s="1"/>
  <c r="C59" s="1"/>
  <c r="C124"/>
  <c r="D124" s="1"/>
  <c r="D125" s="1"/>
  <c r="C112"/>
  <c r="D112" s="1"/>
  <c r="D113" s="1"/>
  <c r="D87" i="35"/>
  <c r="D88" s="1"/>
  <c r="C127"/>
  <c r="D76"/>
  <c r="D77" s="1"/>
  <c r="D65"/>
  <c r="D66" s="1"/>
  <c r="D53"/>
  <c r="D54" s="1"/>
  <c r="C18"/>
  <c r="C19" s="1"/>
  <c r="D18"/>
  <c r="D19" s="1"/>
  <c r="D97"/>
  <c r="D98" s="1"/>
  <c r="D37"/>
  <c r="D38" s="1"/>
  <c r="C121"/>
  <c r="D121" s="1"/>
  <c r="D122" s="1"/>
  <c r="C109"/>
  <c r="D109" s="1"/>
  <c r="D110" s="1"/>
  <c r="C97"/>
  <c r="C98" s="1"/>
  <c r="C87"/>
  <c r="C88" s="1"/>
  <c r="C76"/>
  <c r="C77" s="1"/>
  <c r="C65"/>
  <c r="C66" s="1"/>
  <c r="C53"/>
  <c r="C54" s="1"/>
  <c r="C37"/>
  <c r="C38" s="1"/>
  <c r="C106" i="33"/>
  <c r="C107" s="1"/>
  <c r="D104"/>
  <c r="D105" s="1"/>
  <c r="C105" i="30"/>
  <c r="C106" s="1"/>
  <c r="D103"/>
  <c r="D104" s="1"/>
  <c r="C105" i="27"/>
  <c r="C106" s="1"/>
  <c r="D103"/>
  <c r="D104" s="1"/>
  <c r="C106" i="26"/>
  <c r="C107" s="1"/>
  <c r="D104"/>
  <c r="D105" s="1"/>
  <c r="C105" i="25"/>
  <c r="C106" s="1"/>
  <c r="D103"/>
  <c r="D104" s="1"/>
  <c r="C105" i="23"/>
  <c r="C106" s="1"/>
  <c r="D103"/>
  <c r="D104" s="1"/>
  <c r="C106" i="19"/>
  <c r="C110" i="35" l="1"/>
  <c r="C122"/>
  <c r="C125" i="37"/>
  <c r="C126" s="1"/>
  <c r="D59"/>
  <c r="C113"/>
  <c r="D89" i="35"/>
  <c r="D90" s="1"/>
  <c r="C39"/>
  <c r="C40" s="1"/>
  <c r="C55"/>
  <c r="C56" s="1"/>
  <c r="C67"/>
  <c r="C68" s="1"/>
  <c r="C78"/>
  <c r="C79" s="1"/>
  <c r="C89"/>
  <c r="C90" s="1"/>
  <c r="C100"/>
  <c r="C93" s="1"/>
  <c r="C99"/>
  <c r="C112"/>
  <c r="C111"/>
  <c r="D111" s="1"/>
  <c r="D112" s="1"/>
  <c r="C123"/>
  <c r="D123" s="1"/>
  <c r="D39"/>
  <c r="D40" s="1"/>
  <c r="D99"/>
  <c r="D100" s="1"/>
  <c r="D93" s="1"/>
  <c r="D20"/>
  <c r="D21" s="1"/>
  <c r="C20"/>
  <c r="C21" s="1"/>
  <c r="D55"/>
  <c r="D56" s="1"/>
  <c r="D67"/>
  <c r="D68" s="1"/>
  <c r="D78"/>
  <c r="D79" s="1"/>
  <c r="D124"/>
  <c r="D127"/>
  <c r="C108" i="33"/>
  <c r="C109" s="1"/>
  <c r="C102" s="1"/>
  <c r="D106"/>
  <c r="D107" s="1"/>
  <c r="C107" i="30"/>
  <c r="C108" s="1"/>
  <c r="C101" s="1"/>
  <c r="D105"/>
  <c r="D106" s="1"/>
  <c r="C107" i="27"/>
  <c r="C108" s="1"/>
  <c r="C101" s="1"/>
  <c r="D105"/>
  <c r="D106" s="1"/>
  <c r="C108" i="26"/>
  <c r="C109" s="1"/>
  <c r="C102" s="1"/>
  <c r="D106"/>
  <c r="D107" s="1"/>
  <c r="C107" i="25"/>
  <c r="C108" s="1"/>
  <c r="C101" s="1"/>
  <c r="D105"/>
  <c r="D106" s="1"/>
  <c r="C107" i="23"/>
  <c r="C108" s="1"/>
  <c r="C101" s="1"/>
  <c r="D105"/>
  <c r="D106" s="1"/>
  <c r="C107" i="19"/>
  <c r="D126" i="37" l="1"/>
  <c r="D127" s="1"/>
  <c r="D116" s="1"/>
  <c r="C127"/>
  <c r="C116" s="1"/>
  <c r="C114"/>
  <c r="D114" s="1"/>
  <c r="D115" s="1"/>
  <c r="D41" i="35"/>
  <c r="D42" s="1"/>
  <c r="D24" s="1"/>
  <c r="D91"/>
  <c r="D92" s="1"/>
  <c r="D82" s="1"/>
  <c r="D80"/>
  <c r="D81" s="1"/>
  <c r="D71" s="1"/>
  <c r="D69"/>
  <c r="D70" s="1"/>
  <c r="D60" s="1"/>
  <c r="D57"/>
  <c r="D58" s="1"/>
  <c r="D48" s="1"/>
  <c r="C22"/>
  <c r="C23" s="1"/>
  <c r="C13" s="1"/>
  <c r="D22"/>
  <c r="D23" s="1"/>
  <c r="D13" s="1"/>
  <c r="C113"/>
  <c r="D113" s="1"/>
  <c r="D114" s="1"/>
  <c r="C91"/>
  <c r="C92" s="1"/>
  <c r="C82" s="1"/>
  <c r="C80"/>
  <c r="C81" s="1"/>
  <c r="C71" s="1"/>
  <c r="C69"/>
  <c r="C70" s="1"/>
  <c r="C60" s="1"/>
  <c r="C57"/>
  <c r="C58" s="1"/>
  <c r="C48" s="1"/>
  <c r="C41"/>
  <c r="C42" s="1"/>
  <c r="C24" s="1"/>
  <c r="C124"/>
  <c r="D108" i="33"/>
  <c r="D109" s="1"/>
  <c r="D102" s="1"/>
  <c r="D107" i="30"/>
  <c r="D108" s="1"/>
  <c r="D101" s="1"/>
  <c r="D107" i="27"/>
  <c r="D108" s="1"/>
  <c r="D101" s="1"/>
  <c r="D108" i="26"/>
  <c r="D109" s="1"/>
  <c r="D102" s="1"/>
  <c r="D107" i="25"/>
  <c r="D108" s="1"/>
  <c r="D101" s="1"/>
  <c r="D107" i="23"/>
  <c r="D108" s="1"/>
  <c r="D101" s="1"/>
  <c r="C108" i="19"/>
  <c r="C59" i="35" l="1"/>
  <c r="C114"/>
  <c r="C115" i="37"/>
  <c r="D104"/>
  <c r="D103"/>
  <c r="D47" s="1"/>
  <c r="D141" s="1"/>
  <c r="D143" s="1"/>
  <c r="D103" i="35"/>
  <c r="C125"/>
  <c r="D125" s="1"/>
  <c r="D126" s="1"/>
  <c r="D115" s="1"/>
  <c r="C103"/>
  <c r="D12"/>
  <c r="C12"/>
  <c r="D59"/>
  <c r="C109" i="19"/>
  <c r="C102" s="1"/>
  <c r="C104" i="37" l="1"/>
  <c r="C103"/>
  <c r="C47" s="1"/>
  <c r="C141" s="1"/>
  <c r="C143" s="1"/>
  <c r="C126" i="35"/>
  <c r="D102"/>
  <c r="D47" s="1"/>
  <c r="D140" s="1"/>
  <c r="C120" i="34"/>
  <c r="D120" s="1"/>
  <c r="C119"/>
  <c r="D119" s="1"/>
  <c r="C117"/>
  <c r="C108"/>
  <c r="D108" s="1"/>
  <c r="C107"/>
  <c r="D107" s="1"/>
  <c r="C105"/>
  <c r="D105" s="1"/>
  <c r="C95"/>
  <c r="D95"/>
  <c r="C86"/>
  <c r="D86" s="1"/>
  <c r="C84"/>
  <c r="D84" s="1"/>
  <c r="C75"/>
  <c r="D75" s="1"/>
  <c r="C73"/>
  <c r="D73" s="1"/>
  <c r="C63"/>
  <c r="D63" s="1"/>
  <c r="C61"/>
  <c r="C51"/>
  <c r="D51" s="1"/>
  <c r="C49"/>
  <c r="C46"/>
  <c r="C43" s="1"/>
  <c r="D45"/>
  <c r="D44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27" i="33"/>
  <c r="C126"/>
  <c r="C124"/>
  <c r="C115"/>
  <c r="C114"/>
  <c r="C112"/>
  <c r="D127"/>
  <c r="D126"/>
  <c r="D115"/>
  <c r="D114"/>
  <c r="C95"/>
  <c r="C86"/>
  <c r="D86" s="1"/>
  <c r="C84"/>
  <c r="C75"/>
  <c r="D75" s="1"/>
  <c r="C73"/>
  <c r="C63"/>
  <c r="D63" s="1"/>
  <c r="C61"/>
  <c r="C51"/>
  <c r="D51" s="1"/>
  <c r="C49"/>
  <c r="D49" s="1"/>
  <c r="C46"/>
  <c r="C43" s="1"/>
  <c r="D45"/>
  <c r="D44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36" s="1"/>
  <c r="C16"/>
  <c r="D16" s="1"/>
  <c r="C14"/>
  <c r="C15" s="1"/>
  <c r="D46" i="34" l="1"/>
  <c r="D43" s="1"/>
  <c r="C36"/>
  <c r="D61"/>
  <c r="D144" i="35"/>
  <c r="C115"/>
  <c r="C102"/>
  <c r="C47" s="1"/>
  <c r="C140" s="1"/>
  <c r="C144" s="1"/>
  <c r="D46" i="33"/>
  <c r="D43" s="1"/>
  <c r="C37" i="34"/>
  <c r="C38" s="1"/>
  <c r="D14"/>
  <c r="D25"/>
  <c r="D36" s="1"/>
  <c r="D49"/>
  <c r="D85"/>
  <c r="D87" s="1"/>
  <c r="D96"/>
  <c r="D97" s="1"/>
  <c r="D117"/>
  <c r="C15"/>
  <c r="C17" s="1"/>
  <c r="C50"/>
  <c r="D50" s="1"/>
  <c r="C62"/>
  <c r="D62" s="1"/>
  <c r="C74"/>
  <c r="D74" s="1"/>
  <c r="D76" s="1"/>
  <c r="C85"/>
  <c r="C87" s="1"/>
  <c r="C96"/>
  <c r="C97" s="1"/>
  <c r="C106"/>
  <c r="D106" s="1"/>
  <c r="D109" s="1"/>
  <c r="C118"/>
  <c r="D118" s="1"/>
  <c r="C37" i="33"/>
  <c r="C38" s="1"/>
  <c r="D14"/>
  <c r="D15" s="1"/>
  <c r="D25"/>
  <c r="D36" s="1"/>
  <c r="D61"/>
  <c r="D73"/>
  <c r="D84"/>
  <c r="D95"/>
  <c r="D112"/>
  <c r="D124"/>
  <c r="C17"/>
  <c r="C50"/>
  <c r="D50" s="1"/>
  <c r="D52" s="1"/>
  <c r="C62"/>
  <c r="D62" s="1"/>
  <c r="C74"/>
  <c r="D74" s="1"/>
  <c r="C85"/>
  <c r="C87" s="1"/>
  <c r="C96"/>
  <c r="C97" s="1"/>
  <c r="C113"/>
  <c r="D113" s="1"/>
  <c r="C125"/>
  <c r="D125" s="1"/>
  <c r="C126" i="30"/>
  <c r="D126" s="1"/>
  <c r="C125"/>
  <c r="D125" s="1"/>
  <c r="C123"/>
  <c r="C114"/>
  <c r="D114" s="1"/>
  <c r="C113"/>
  <c r="C111"/>
  <c r="D111" s="1"/>
  <c r="C94"/>
  <c r="D113"/>
  <c r="C85"/>
  <c r="D85" s="1"/>
  <c r="C83"/>
  <c r="C74"/>
  <c r="D74" s="1"/>
  <c r="C72"/>
  <c r="C63"/>
  <c r="D63" s="1"/>
  <c r="C61"/>
  <c r="C51"/>
  <c r="D51" s="1"/>
  <c r="C49"/>
  <c r="D49" s="1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19" i="29"/>
  <c r="D119" s="1"/>
  <c r="C118"/>
  <c r="D118" s="1"/>
  <c r="C116"/>
  <c r="C107"/>
  <c r="D107" s="1"/>
  <c r="C106"/>
  <c r="C104"/>
  <c r="D104" s="1"/>
  <c r="C94"/>
  <c r="D106"/>
  <c r="C85"/>
  <c r="D85" s="1"/>
  <c r="C83"/>
  <c r="C74"/>
  <c r="D74" s="1"/>
  <c r="C72"/>
  <c r="C63"/>
  <c r="D63" s="1"/>
  <c r="C61"/>
  <c r="C51"/>
  <c r="D51" s="1"/>
  <c r="C49"/>
  <c r="D49" s="1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19" i="28"/>
  <c r="D119" s="1"/>
  <c r="C118"/>
  <c r="D118" s="1"/>
  <c r="C116"/>
  <c r="C107"/>
  <c r="D107" s="1"/>
  <c r="C106"/>
  <c r="C104"/>
  <c r="C94"/>
  <c r="D106"/>
  <c r="D104"/>
  <c r="C85"/>
  <c r="D85" s="1"/>
  <c r="C83"/>
  <c r="C74"/>
  <c r="D74" s="1"/>
  <c r="C72"/>
  <c r="C63"/>
  <c r="D63" s="1"/>
  <c r="C61"/>
  <c r="C51"/>
  <c r="D51" s="1"/>
  <c r="C49"/>
  <c r="D49" s="1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26" i="27"/>
  <c r="D126" s="1"/>
  <c r="C125"/>
  <c r="D125" s="1"/>
  <c r="C123"/>
  <c r="C114"/>
  <c r="C113"/>
  <c r="D113" s="1"/>
  <c r="C111"/>
  <c r="D111" s="1"/>
  <c r="C94"/>
  <c r="D114"/>
  <c r="C85"/>
  <c r="D85" s="1"/>
  <c r="C83"/>
  <c r="C74"/>
  <c r="D74" s="1"/>
  <c r="C72"/>
  <c r="C63"/>
  <c r="D63" s="1"/>
  <c r="C61"/>
  <c r="D61" s="1"/>
  <c r="C51"/>
  <c r="D51" s="1"/>
  <c r="C49"/>
  <c r="C46"/>
  <c r="C43" s="1"/>
  <c r="D45"/>
  <c r="D44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36" s="1"/>
  <c r="C16"/>
  <c r="D16" s="1"/>
  <c r="C14"/>
  <c r="C15" s="1"/>
  <c r="C127" i="26"/>
  <c r="D127" s="1"/>
  <c r="C126"/>
  <c r="D126" s="1"/>
  <c r="C124"/>
  <c r="C115"/>
  <c r="D115" s="1"/>
  <c r="C114"/>
  <c r="D114" s="1"/>
  <c r="C112"/>
  <c r="C95"/>
  <c r="D112"/>
  <c r="D95"/>
  <c r="C86"/>
  <c r="D86" s="1"/>
  <c r="C84"/>
  <c r="C75"/>
  <c r="D75" s="1"/>
  <c r="C73"/>
  <c r="C63"/>
  <c r="D63" s="1"/>
  <c r="C61"/>
  <c r="C51"/>
  <c r="D51" s="1"/>
  <c r="C49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5" s="1"/>
  <c r="C126" i="25"/>
  <c r="C125"/>
  <c r="C123"/>
  <c r="C114"/>
  <c r="C113"/>
  <c r="C111"/>
  <c r="D65" i="34" l="1"/>
  <c r="C135" i="33"/>
  <c r="C128" i="34"/>
  <c r="C65"/>
  <c r="C65" i="33"/>
  <c r="D65"/>
  <c r="D61" i="26"/>
  <c r="C36" i="28"/>
  <c r="C36" i="26"/>
  <c r="C36" i="29"/>
  <c r="C36" i="30"/>
  <c r="C88" i="34"/>
  <c r="C89" s="1"/>
  <c r="D66"/>
  <c r="D67" s="1"/>
  <c r="C18"/>
  <c r="C19" s="1"/>
  <c r="D88"/>
  <c r="D89" s="1"/>
  <c r="C39"/>
  <c r="C40" s="1"/>
  <c r="C98"/>
  <c r="C99" s="1"/>
  <c r="D77"/>
  <c r="D78" s="1"/>
  <c r="D98"/>
  <c r="D99" s="1"/>
  <c r="D37"/>
  <c r="D38" s="1"/>
  <c r="D121"/>
  <c r="C121"/>
  <c r="C76"/>
  <c r="D15"/>
  <c r="D17" s="1"/>
  <c r="D52"/>
  <c r="C52"/>
  <c r="C109"/>
  <c r="C98" i="33"/>
  <c r="C99" s="1"/>
  <c r="D53"/>
  <c r="D54" s="1"/>
  <c r="C88"/>
  <c r="C89" s="1"/>
  <c r="C18"/>
  <c r="C19" s="1"/>
  <c r="D96"/>
  <c r="D97" s="1"/>
  <c r="D37"/>
  <c r="D38" s="1"/>
  <c r="D128"/>
  <c r="D76"/>
  <c r="C116"/>
  <c r="C128"/>
  <c r="D85"/>
  <c r="D87" s="1"/>
  <c r="D17"/>
  <c r="C39"/>
  <c r="C40" s="1"/>
  <c r="D116"/>
  <c r="C76"/>
  <c r="C52"/>
  <c r="C37" i="30"/>
  <c r="C38" s="1"/>
  <c r="D14"/>
  <c r="D25"/>
  <c r="D36" s="1"/>
  <c r="D61"/>
  <c r="D72"/>
  <c r="D83"/>
  <c r="D94"/>
  <c r="D123"/>
  <c r="C15"/>
  <c r="C17" s="1"/>
  <c r="C50"/>
  <c r="D50" s="1"/>
  <c r="D52" s="1"/>
  <c r="C62"/>
  <c r="D62" s="1"/>
  <c r="C73"/>
  <c r="D73" s="1"/>
  <c r="C84"/>
  <c r="C86" s="1"/>
  <c r="C95"/>
  <c r="C96" s="1"/>
  <c r="C112"/>
  <c r="D112" s="1"/>
  <c r="D115" s="1"/>
  <c r="C124"/>
  <c r="D124" s="1"/>
  <c r="D25" i="29"/>
  <c r="D36" s="1"/>
  <c r="C37"/>
  <c r="C38" s="1"/>
  <c r="D14"/>
  <c r="D61"/>
  <c r="D72"/>
  <c r="D83"/>
  <c r="D94"/>
  <c r="D116"/>
  <c r="C15"/>
  <c r="C17" s="1"/>
  <c r="C50"/>
  <c r="D50" s="1"/>
  <c r="D52" s="1"/>
  <c r="C62"/>
  <c r="D62" s="1"/>
  <c r="C73"/>
  <c r="D73" s="1"/>
  <c r="C84"/>
  <c r="C86" s="1"/>
  <c r="C95"/>
  <c r="C96" s="1"/>
  <c r="C105"/>
  <c r="D105" s="1"/>
  <c r="D108" s="1"/>
  <c r="C117"/>
  <c r="D117" s="1"/>
  <c r="C37" i="28"/>
  <c r="C38" s="1"/>
  <c r="D14"/>
  <c r="D25"/>
  <c r="D36" s="1"/>
  <c r="D61"/>
  <c r="D72"/>
  <c r="D83"/>
  <c r="D94"/>
  <c r="D116"/>
  <c r="C15"/>
  <c r="C17" s="1"/>
  <c r="C50"/>
  <c r="D50" s="1"/>
  <c r="D52" s="1"/>
  <c r="C62"/>
  <c r="D62" s="1"/>
  <c r="C73"/>
  <c r="D73" s="1"/>
  <c r="C84"/>
  <c r="C86" s="1"/>
  <c r="C95"/>
  <c r="C96" s="1"/>
  <c r="C105"/>
  <c r="D105" s="1"/>
  <c r="D108" s="1"/>
  <c r="C117"/>
  <c r="D117" s="1"/>
  <c r="D46" i="27"/>
  <c r="D43" s="1"/>
  <c r="D25"/>
  <c r="D36" s="1"/>
  <c r="C37"/>
  <c r="C38" s="1"/>
  <c r="D37"/>
  <c r="D38" s="1"/>
  <c r="D14"/>
  <c r="D15" s="1"/>
  <c r="D49"/>
  <c r="D72"/>
  <c r="D83"/>
  <c r="D94"/>
  <c r="D123"/>
  <c r="C17"/>
  <c r="C50"/>
  <c r="D50" s="1"/>
  <c r="C62"/>
  <c r="D62" s="1"/>
  <c r="D64" s="1"/>
  <c r="C73"/>
  <c r="D73" s="1"/>
  <c r="C84"/>
  <c r="C86" s="1"/>
  <c r="C95"/>
  <c r="C96" s="1"/>
  <c r="C112"/>
  <c r="D112" s="1"/>
  <c r="D115" s="1"/>
  <c r="C124"/>
  <c r="D124" s="1"/>
  <c r="C37" i="26"/>
  <c r="C38" s="1"/>
  <c r="D14"/>
  <c r="D15" s="1"/>
  <c r="D25"/>
  <c r="D36" s="1"/>
  <c r="D49"/>
  <c r="D73"/>
  <c r="D84"/>
  <c r="D96"/>
  <c r="D97" s="1"/>
  <c r="D124"/>
  <c r="C17"/>
  <c r="C50"/>
  <c r="D50" s="1"/>
  <c r="C62"/>
  <c r="D62" s="1"/>
  <c r="C74"/>
  <c r="D74" s="1"/>
  <c r="C85"/>
  <c r="C87" s="1"/>
  <c r="C96"/>
  <c r="C97" s="1"/>
  <c r="C113"/>
  <c r="D113" s="1"/>
  <c r="D116" s="1"/>
  <c r="C125"/>
  <c r="D125" s="1"/>
  <c r="C134" i="30" l="1"/>
  <c r="C134" i="27"/>
  <c r="C127" i="29"/>
  <c r="D128" i="34"/>
  <c r="C127" i="28"/>
  <c r="D65" i="26"/>
  <c r="C135"/>
  <c r="C65"/>
  <c r="D90" i="34"/>
  <c r="D91" s="1"/>
  <c r="D68"/>
  <c r="D69" s="1"/>
  <c r="D18"/>
  <c r="D19" s="1"/>
  <c r="C41"/>
  <c r="C42" s="1"/>
  <c r="C24" s="1"/>
  <c r="C20"/>
  <c r="C21" s="1"/>
  <c r="C90"/>
  <c r="C91" s="1"/>
  <c r="C110"/>
  <c r="D110" s="1"/>
  <c r="D111" s="1"/>
  <c r="D53"/>
  <c r="D54" s="1"/>
  <c r="C122"/>
  <c r="D122" s="1"/>
  <c r="C66"/>
  <c r="C67" s="1"/>
  <c r="C53"/>
  <c r="C54" s="1"/>
  <c r="C77"/>
  <c r="C78" s="1"/>
  <c r="D39"/>
  <c r="D40" s="1"/>
  <c r="D100"/>
  <c r="D101" s="1"/>
  <c r="D94" s="1"/>
  <c r="D79"/>
  <c r="D80" s="1"/>
  <c r="C100"/>
  <c r="C101" s="1"/>
  <c r="C94" s="1"/>
  <c r="D123"/>
  <c r="D18" i="33"/>
  <c r="D19" s="1"/>
  <c r="C100"/>
  <c r="C101" s="1"/>
  <c r="C94" s="1"/>
  <c r="C41"/>
  <c r="C42" s="1"/>
  <c r="C24" s="1"/>
  <c r="D88"/>
  <c r="D89" s="1"/>
  <c r="D55"/>
  <c r="D56" s="1"/>
  <c r="C77"/>
  <c r="C78" s="1"/>
  <c r="C129"/>
  <c r="D129" s="1"/>
  <c r="D130" s="1"/>
  <c r="D77"/>
  <c r="D78" s="1"/>
  <c r="C53"/>
  <c r="C54" s="1"/>
  <c r="D66"/>
  <c r="D67" s="1"/>
  <c r="C66"/>
  <c r="C67" s="1"/>
  <c r="C117"/>
  <c r="D117" s="1"/>
  <c r="D118" s="1"/>
  <c r="D39"/>
  <c r="D40" s="1"/>
  <c r="D98"/>
  <c r="D99" s="1"/>
  <c r="C20"/>
  <c r="C21" s="1"/>
  <c r="C90"/>
  <c r="C91" s="1"/>
  <c r="C97" i="30"/>
  <c r="C98" s="1"/>
  <c r="D53"/>
  <c r="D54" s="1"/>
  <c r="C39"/>
  <c r="C40" s="1"/>
  <c r="D134"/>
  <c r="C87"/>
  <c r="C88" s="1"/>
  <c r="C18"/>
  <c r="C19" s="1"/>
  <c r="D84"/>
  <c r="D86" s="1"/>
  <c r="D15"/>
  <c r="D17" s="1"/>
  <c r="D127"/>
  <c r="D64"/>
  <c r="C75"/>
  <c r="C127"/>
  <c r="C52"/>
  <c r="D95"/>
  <c r="D96" s="1"/>
  <c r="D37"/>
  <c r="D38" s="1"/>
  <c r="D75"/>
  <c r="C64"/>
  <c r="C115"/>
  <c r="C97" i="29"/>
  <c r="C98" s="1"/>
  <c r="D53"/>
  <c r="D54" s="1"/>
  <c r="D131"/>
  <c r="C87"/>
  <c r="C88" s="1"/>
  <c r="C18"/>
  <c r="C19" s="1"/>
  <c r="C39"/>
  <c r="C40" s="1"/>
  <c r="D84"/>
  <c r="D86" s="1"/>
  <c r="D37"/>
  <c r="D38" s="1"/>
  <c r="D120"/>
  <c r="D64"/>
  <c r="C52"/>
  <c r="C108"/>
  <c r="D95"/>
  <c r="D96" s="1"/>
  <c r="D15"/>
  <c r="D17" s="1"/>
  <c r="D75"/>
  <c r="C75"/>
  <c r="C120"/>
  <c r="C64"/>
  <c r="C97" i="28"/>
  <c r="C98" s="1"/>
  <c r="D53"/>
  <c r="D54" s="1"/>
  <c r="C39"/>
  <c r="C40" s="1"/>
  <c r="D127"/>
  <c r="C87"/>
  <c r="C88" s="1"/>
  <c r="C18"/>
  <c r="C19" s="1"/>
  <c r="D84"/>
  <c r="D86" s="1"/>
  <c r="D15"/>
  <c r="D17" s="1"/>
  <c r="D120"/>
  <c r="D64"/>
  <c r="C75"/>
  <c r="C108"/>
  <c r="D95"/>
  <c r="D96" s="1"/>
  <c r="D37"/>
  <c r="D38" s="1"/>
  <c r="D75"/>
  <c r="C64"/>
  <c r="C120"/>
  <c r="C52"/>
  <c r="C87" i="27"/>
  <c r="C88" s="1"/>
  <c r="C97"/>
  <c r="C98" s="1"/>
  <c r="C39"/>
  <c r="C40" s="1"/>
  <c r="D65"/>
  <c r="D66" s="1"/>
  <c r="C18"/>
  <c r="C19" s="1"/>
  <c r="D39"/>
  <c r="D40" s="1"/>
  <c r="D95"/>
  <c r="D96" s="1"/>
  <c r="D17"/>
  <c r="D75"/>
  <c r="C75"/>
  <c r="C52"/>
  <c r="C115"/>
  <c r="D84"/>
  <c r="D86" s="1"/>
  <c r="D127"/>
  <c r="D52"/>
  <c r="C64"/>
  <c r="C127"/>
  <c r="C88" i="26"/>
  <c r="C89" s="1"/>
  <c r="C98"/>
  <c r="C99" s="1"/>
  <c r="D98"/>
  <c r="D99" s="1"/>
  <c r="C39"/>
  <c r="C40" s="1"/>
  <c r="D66"/>
  <c r="D67" s="1"/>
  <c r="C18"/>
  <c r="C19" s="1"/>
  <c r="D37"/>
  <c r="D38" s="1"/>
  <c r="D76"/>
  <c r="C116"/>
  <c r="C128"/>
  <c r="C52"/>
  <c r="D85"/>
  <c r="D87" s="1"/>
  <c r="D17"/>
  <c r="D128"/>
  <c r="D52"/>
  <c r="C76"/>
  <c r="D127" i="29" l="1"/>
  <c r="D135" i="26"/>
  <c r="D134" i="27"/>
  <c r="D81" i="34"/>
  <c r="D82" s="1"/>
  <c r="D72" s="1"/>
  <c r="D41"/>
  <c r="D42" s="1"/>
  <c r="D24" s="1"/>
  <c r="C55"/>
  <c r="C56" s="1"/>
  <c r="C22"/>
  <c r="C23" s="1"/>
  <c r="C13" s="1"/>
  <c r="C12" s="1"/>
  <c r="D20"/>
  <c r="D21" s="1"/>
  <c r="D92"/>
  <c r="D93" s="1"/>
  <c r="D83" s="1"/>
  <c r="C79"/>
  <c r="C80" s="1"/>
  <c r="C68"/>
  <c r="C69" s="1"/>
  <c r="D55"/>
  <c r="D56" s="1"/>
  <c r="C92"/>
  <c r="C93" s="1"/>
  <c r="C83" s="1"/>
  <c r="D70"/>
  <c r="D71" s="1"/>
  <c r="D60" s="1"/>
  <c r="C123"/>
  <c r="C111"/>
  <c r="C118" i="33"/>
  <c r="C119" s="1"/>
  <c r="D119" s="1"/>
  <c r="D120" s="1"/>
  <c r="D41"/>
  <c r="D42" s="1"/>
  <c r="D24" s="1"/>
  <c r="D57"/>
  <c r="D58" s="1"/>
  <c r="D48" s="1"/>
  <c r="D20"/>
  <c r="D21" s="1"/>
  <c r="D79"/>
  <c r="D80" s="1"/>
  <c r="C79"/>
  <c r="C80" s="1"/>
  <c r="D90"/>
  <c r="D91" s="1"/>
  <c r="C130"/>
  <c r="C92"/>
  <c r="C93" s="1"/>
  <c r="C83" s="1"/>
  <c r="C22"/>
  <c r="C23" s="1"/>
  <c r="C13" s="1"/>
  <c r="C12" s="1"/>
  <c r="D100"/>
  <c r="D101" s="1"/>
  <c r="D94" s="1"/>
  <c r="C68"/>
  <c r="C69" s="1"/>
  <c r="D68"/>
  <c r="D69" s="1"/>
  <c r="C55"/>
  <c r="C56" s="1"/>
  <c r="D18" i="30"/>
  <c r="D19" s="1"/>
  <c r="C99"/>
  <c r="C100" s="1"/>
  <c r="C93" s="1"/>
  <c r="D87"/>
  <c r="D88" s="1"/>
  <c r="C41"/>
  <c r="C42" s="1"/>
  <c r="C24" s="1"/>
  <c r="D55"/>
  <c r="D56" s="1"/>
  <c r="C65"/>
  <c r="C66" s="1"/>
  <c r="C53"/>
  <c r="C54" s="1"/>
  <c r="C76"/>
  <c r="C77" s="1"/>
  <c r="C116"/>
  <c r="D116" s="1"/>
  <c r="D117" s="1"/>
  <c r="D76"/>
  <c r="D77" s="1"/>
  <c r="D39"/>
  <c r="D40" s="1"/>
  <c r="D97"/>
  <c r="D98" s="1"/>
  <c r="C128"/>
  <c r="D128" s="1"/>
  <c r="D129" s="1"/>
  <c r="D65"/>
  <c r="D66" s="1"/>
  <c r="C20"/>
  <c r="C21" s="1"/>
  <c r="C89"/>
  <c r="C90" s="1"/>
  <c r="C41" i="29"/>
  <c r="C42" s="1"/>
  <c r="C24" s="1"/>
  <c r="C89"/>
  <c r="C90" s="1"/>
  <c r="C99"/>
  <c r="C100" s="1"/>
  <c r="C93" s="1"/>
  <c r="C20"/>
  <c r="C21" s="1"/>
  <c r="D55"/>
  <c r="D56" s="1"/>
  <c r="C65"/>
  <c r="C66" s="1"/>
  <c r="C76"/>
  <c r="C77" s="1"/>
  <c r="C109"/>
  <c r="D109" s="1"/>
  <c r="D110" s="1"/>
  <c r="D65"/>
  <c r="D66" s="1"/>
  <c r="C121"/>
  <c r="D121" s="1"/>
  <c r="D122" s="1"/>
  <c r="D76"/>
  <c r="D77" s="1"/>
  <c r="D18"/>
  <c r="D19" s="1"/>
  <c r="D97"/>
  <c r="D98" s="1"/>
  <c r="C53"/>
  <c r="C54" s="1"/>
  <c r="D39"/>
  <c r="D40" s="1"/>
  <c r="D87"/>
  <c r="D88" s="1"/>
  <c r="C20" i="28"/>
  <c r="C21" s="1"/>
  <c r="C99"/>
  <c r="C100" s="1"/>
  <c r="C93" s="1"/>
  <c r="C89"/>
  <c r="C90" s="1"/>
  <c r="C41"/>
  <c r="C42" s="1"/>
  <c r="C24" s="1"/>
  <c r="D55"/>
  <c r="D56" s="1"/>
  <c r="C53"/>
  <c r="C54" s="1"/>
  <c r="C65"/>
  <c r="C66" s="1"/>
  <c r="C109"/>
  <c r="D109" s="1"/>
  <c r="D110" s="1"/>
  <c r="D65"/>
  <c r="D66" s="1"/>
  <c r="C121"/>
  <c r="D121" s="1"/>
  <c r="D122" s="1"/>
  <c r="D76"/>
  <c r="D77" s="1"/>
  <c r="D39"/>
  <c r="D40" s="1"/>
  <c r="D97"/>
  <c r="D98" s="1"/>
  <c r="C76"/>
  <c r="C77" s="1"/>
  <c r="D18"/>
  <c r="D19" s="1"/>
  <c r="D87"/>
  <c r="D88" s="1"/>
  <c r="D97" i="27"/>
  <c r="D98" s="1"/>
  <c r="C20"/>
  <c r="C21" s="1"/>
  <c r="C41"/>
  <c r="C42" s="1"/>
  <c r="C24" s="1"/>
  <c r="C99"/>
  <c r="C100" s="1"/>
  <c r="C93" s="1"/>
  <c r="D41"/>
  <c r="D42" s="1"/>
  <c r="D24" s="1"/>
  <c r="D67"/>
  <c r="D68" s="1"/>
  <c r="C89"/>
  <c r="C90" s="1"/>
  <c r="C128"/>
  <c r="D128" s="1"/>
  <c r="D129" s="1"/>
  <c r="D53"/>
  <c r="D54" s="1"/>
  <c r="C116"/>
  <c r="D116" s="1"/>
  <c r="D117" s="1"/>
  <c r="C76"/>
  <c r="C77" s="1"/>
  <c r="C65"/>
  <c r="C66" s="1"/>
  <c r="D87"/>
  <c r="D88" s="1"/>
  <c r="C53"/>
  <c r="C54" s="1"/>
  <c r="D76"/>
  <c r="D77" s="1"/>
  <c r="D18"/>
  <c r="D19" s="1"/>
  <c r="C41" i="26"/>
  <c r="C42" s="1"/>
  <c r="C24" s="1"/>
  <c r="C90"/>
  <c r="C91" s="1"/>
  <c r="D100"/>
  <c r="D101" s="1"/>
  <c r="D94" s="1"/>
  <c r="C100"/>
  <c r="C101" s="1"/>
  <c r="C94" s="1"/>
  <c r="C66"/>
  <c r="C67" s="1"/>
  <c r="D53"/>
  <c r="D54" s="1"/>
  <c r="C53"/>
  <c r="C54" s="1"/>
  <c r="C117"/>
  <c r="D117" s="1"/>
  <c r="D118" s="1"/>
  <c r="C77"/>
  <c r="C78" s="1"/>
  <c r="D18"/>
  <c r="D19" s="1"/>
  <c r="D88"/>
  <c r="D89" s="1"/>
  <c r="C129"/>
  <c r="D129" s="1"/>
  <c r="D130" s="1"/>
  <c r="D77"/>
  <c r="D78" s="1"/>
  <c r="D39"/>
  <c r="D40" s="1"/>
  <c r="C20"/>
  <c r="C21" s="1"/>
  <c r="D68"/>
  <c r="D69" s="1"/>
  <c r="D57" i="34" l="1"/>
  <c r="D58" s="1"/>
  <c r="D48" s="1"/>
  <c r="C81"/>
  <c r="C82" s="1"/>
  <c r="C72" s="1"/>
  <c r="D22"/>
  <c r="D23" s="1"/>
  <c r="D13" s="1"/>
  <c r="D12" s="1"/>
  <c r="C57"/>
  <c r="C58" s="1"/>
  <c r="C48" s="1"/>
  <c r="D59"/>
  <c r="C70"/>
  <c r="C71" s="1"/>
  <c r="C60" s="1"/>
  <c r="C59" s="1"/>
  <c r="C112"/>
  <c r="D112" s="1"/>
  <c r="D113" s="1"/>
  <c r="C124"/>
  <c r="D124" s="1"/>
  <c r="D125" s="1"/>
  <c r="C120" i="33"/>
  <c r="C81"/>
  <c r="C82" s="1"/>
  <c r="C72" s="1"/>
  <c r="D22"/>
  <c r="D23" s="1"/>
  <c r="D13" s="1"/>
  <c r="D12" s="1"/>
  <c r="D92"/>
  <c r="D93" s="1"/>
  <c r="D83" s="1"/>
  <c r="D81"/>
  <c r="D82" s="1"/>
  <c r="D72" s="1"/>
  <c r="C57"/>
  <c r="C58" s="1"/>
  <c r="C48" s="1"/>
  <c r="D70"/>
  <c r="D71" s="1"/>
  <c r="D60" s="1"/>
  <c r="D59" s="1"/>
  <c r="C70"/>
  <c r="C71" s="1"/>
  <c r="C60" s="1"/>
  <c r="C59" s="1"/>
  <c r="C121"/>
  <c r="D121" s="1"/>
  <c r="D122" s="1"/>
  <c r="C131"/>
  <c r="D131" s="1"/>
  <c r="D132" s="1"/>
  <c r="C91" i="30"/>
  <c r="C92" s="1"/>
  <c r="C82" s="1"/>
  <c r="D67"/>
  <c r="D68" s="1"/>
  <c r="D99"/>
  <c r="D100" s="1"/>
  <c r="D93" s="1"/>
  <c r="D78"/>
  <c r="D79" s="1"/>
  <c r="D89"/>
  <c r="D90" s="1"/>
  <c r="D20"/>
  <c r="D21" s="1"/>
  <c r="C22"/>
  <c r="C23" s="1"/>
  <c r="C13" s="1"/>
  <c r="C12" s="1"/>
  <c r="D41"/>
  <c r="D42" s="1"/>
  <c r="D24" s="1"/>
  <c r="C78"/>
  <c r="C79" s="1"/>
  <c r="C55"/>
  <c r="C56" s="1"/>
  <c r="C67"/>
  <c r="C68" s="1"/>
  <c r="D57"/>
  <c r="D58" s="1"/>
  <c r="D48" s="1"/>
  <c r="C129"/>
  <c r="C117"/>
  <c r="D41" i="29"/>
  <c r="D42" s="1"/>
  <c r="D24" s="1"/>
  <c r="D99"/>
  <c r="D100" s="1"/>
  <c r="D93" s="1"/>
  <c r="D78"/>
  <c r="D79" s="1"/>
  <c r="D67"/>
  <c r="D68" s="1"/>
  <c r="C78"/>
  <c r="C79" s="1"/>
  <c r="D57"/>
  <c r="D58" s="1"/>
  <c r="D48" s="1"/>
  <c r="D89"/>
  <c r="D90" s="1"/>
  <c r="C55"/>
  <c r="C56" s="1"/>
  <c r="D20"/>
  <c r="D21" s="1"/>
  <c r="C67"/>
  <c r="C68" s="1"/>
  <c r="C22"/>
  <c r="C23" s="1"/>
  <c r="C13" s="1"/>
  <c r="C12" s="1"/>
  <c r="C91"/>
  <c r="C92" s="1"/>
  <c r="C82" s="1"/>
  <c r="C122"/>
  <c r="C110"/>
  <c r="C110" i="28"/>
  <c r="D89"/>
  <c r="D90" s="1"/>
  <c r="C78"/>
  <c r="C79" s="1"/>
  <c r="D41"/>
  <c r="D42" s="1"/>
  <c r="D24" s="1"/>
  <c r="D57"/>
  <c r="D58" s="1"/>
  <c r="D48" s="1"/>
  <c r="C91"/>
  <c r="C92" s="1"/>
  <c r="C82" s="1"/>
  <c r="C22"/>
  <c r="C23" s="1"/>
  <c r="C13" s="1"/>
  <c r="C12" s="1"/>
  <c r="D20"/>
  <c r="D21" s="1"/>
  <c r="D99"/>
  <c r="D100" s="1"/>
  <c r="D93" s="1"/>
  <c r="D78"/>
  <c r="D79" s="1"/>
  <c r="D67"/>
  <c r="D68" s="1"/>
  <c r="C67"/>
  <c r="C68" s="1"/>
  <c r="C55"/>
  <c r="C56" s="1"/>
  <c r="C122"/>
  <c r="C129" i="27"/>
  <c r="C117"/>
  <c r="D20"/>
  <c r="D21" s="1"/>
  <c r="C55"/>
  <c r="C56" s="1"/>
  <c r="C67"/>
  <c r="C68" s="1"/>
  <c r="D99"/>
  <c r="D100" s="1"/>
  <c r="D93" s="1"/>
  <c r="D78"/>
  <c r="D79" s="1"/>
  <c r="D89"/>
  <c r="D90" s="1"/>
  <c r="C78"/>
  <c r="C79" s="1"/>
  <c r="C22"/>
  <c r="C23" s="1"/>
  <c r="C13" s="1"/>
  <c r="C12" s="1"/>
  <c r="D55"/>
  <c r="D56" s="1"/>
  <c r="C91"/>
  <c r="C92" s="1"/>
  <c r="C82" s="1"/>
  <c r="D69"/>
  <c r="D70" s="1"/>
  <c r="D60" s="1"/>
  <c r="C118" i="26"/>
  <c r="C22"/>
  <c r="C23" s="1"/>
  <c r="C13" s="1"/>
  <c r="C12" s="1"/>
  <c r="D79"/>
  <c r="D80" s="1"/>
  <c r="D90"/>
  <c r="D91" s="1"/>
  <c r="C79"/>
  <c r="C80" s="1"/>
  <c r="C68"/>
  <c r="C69" s="1"/>
  <c r="D70"/>
  <c r="D71" s="1"/>
  <c r="D60" s="1"/>
  <c r="D41"/>
  <c r="D42" s="1"/>
  <c r="D24" s="1"/>
  <c r="D20"/>
  <c r="D21" s="1"/>
  <c r="D55"/>
  <c r="D56" s="1"/>
  <c r="C92"/>
  <c r="C93" s="1"/>
  <c r="C83" s="1"/>
  <c r="C55"/>
  <c r="C56" s="1"/>
  <c r="C130"/>
  <c r="C125" i="34" l="1"/>
  <c r="C113"/>
  <c r="C132" i="33"/>
  <c r="D111"/>
  <c r="C122"/>
  <c r="D91" i="30"/>
  <c r="D92" s="1"/>
  <c r="D82" s="1"/>
  <c r="D22"/>
  <c r="D23" s="1"/>
  <c r="D13" s="1"/>
  <c r="D12" s="1"/>
  <c r="D80"/>
  <c r="D81" s="1"/>
  <c r="D71" s="1"/>
  <c r="D69"/>
  <c r="D70" s="1"/>
  <c r="D60" s="1"/>
  <c r="C130"/>
  <c r="D130" s="1"/>
  <c r="D131" s="1"/>
  <c r="C118"/>
  <c r="D118" s="1"/>
  <c r="D119" s="1"/>
  <c r="C69"/>
  <c r="C70" s="1"/>
  <c r="C60" s="1"/>
  <c r="C57"/>
  <c r="C58" s="1"/>
  <c r="C48" s="1"/>
  <c r="C80"/>
  <c r="C81" s="1"/>
  <c r="C71" s="1"/>
  <c r="D22" i="29"/>
  <c r="D23" s="1"/>
  <c r="D13" s="1"/>
  <c r="D12" s="1"/>
  <c r="D91"/>
  <c r="D92" s="1"/>
  <c r="D82" s="1"/>
  <c r="C80"/>
  <c r="C81" s="1"/>
  <c r="C71" s="1"/>
  <c r="D80"/>
  <c r="D81" s="1"/>
  <c r="D71" s="1"/>
  <c r="C69"/>
  <c r="C70" s="1"/>
  <c r="C60" s="1"/>
  <c r="C59" s="1"/>
  <c r="C57"/>
  <c r="C58" s="1"/>
  <c r="C48" s="1"/>
  <c r="D69"/>
  <c r="D70" s="1"/>
  <c r="D60" s="1"/>
  <c r="D59" s="1"/>
  <c r="C111"/>
  <c r="D111" s="1"/>
  <c r="D112" s="1"/>
  <c r="C123"/>
  <c r="D123" s="1"/>
  <c r="D124" s="1"/>
  <c r="C111" i="28"/>
  <c r="D111" s="1"/>
  <c r="D112" s="1"/>
  <c r="D91"/>
  <c r="D92" s="1"/>
  <c r="D82" s="1"/>
  <c r="C80"/>
  <c r="C81" s="1"/>
  <c r="C71" s="1"/>
  <c r="C57"/>
  <c r="C58" s="1"/>
  <c r="C48" s="1"/>
  <c r="C69"/>
  <c r="C70" s="1"/>
  <c r="C60" s="1"/>
  <c r="C59" s="1"/>
  <c r="D69"/>
  <c r="D70" s="1"/>
  <c r="D60" s="1"/>
  <c r="D80"/>
  <c r="D81" s="1"/>
  <c r="D71" s="1"/>
  <c r="D22"/>
  <c r="D23" s="1"/>
  <c r="D13" s="1"/>
  <c r="D12" s="1"/>
  <c r="C123"/>
  <c r="D123" s="1"/>
  <c r="D124" s="1"/>
  <c r="C130" i="27"/>
  <c r="D130" s="1"/>
  <c r="D131" s="1"/>
  <c r="C118"/>
  <c r="D118" s="1"/>
  <c r="D119" s="1"/>
  <c r="D57"/>
  <c r="D58" s="1"/>
  <c r="D48" s="1"/>
  <c r="C80"/>
  <c r="C81" s="1"/>
  <c r="C71" s="1"/>
  <c r="D80"/>
  <c r="D81" s="1"/>
  <c r="D71" s="1"/>
  <c r="C69"/>
  <c r="C70" s="1"/>
  <c r="C60" s="1"/>
  <c r="C59" s="1"/>
  <c r="D22"/>
  <c r="D23" s="1"/>
  <c r="D13" s="1"/>
  <c r="D12" s="1"/>
  <c r="D91"/>
  <c r="D92" s="1"/>
  <c r="D82" s="1"/>
  <c r="C57"/>
  <c r="C58" s="1"/>
  <c r="C48" s="1"/>
  <c r="C119" i="26"/>
  <c r="D119" s="1"/>
  <c r="D120" s="1"/>
  <c r="C70"/>
  <c r="C71" s="1"/>
  <c r="C60" s="1"/>
  <c r="D92"/>
  <c r="D93" s="1"/>
  <c r="D83" s="1"/>
  <c r="D22"/>
  <c r="D23" s="1"/>
  <c r="D13" s="1"/>
  <c r="D12" s="1"/>
  <c r="C81"/>
  <c r="C82" s="1"/>
  <c r="C72" s="1"/>
  <c r="D81"/>
  <c r="D82" s="1"/>
  <c r="D72" s="1"/>
  <c r="C57"/>
  <c r="C58" s="1"/>
  <c r="C48" s="1"/>
  <c r="D57"/>
  <c r="D58" s="1"/>
  <c r="D48" s="1"/>
  <c r="C131"/>
  <c r="D131" s="1"/>
  <c r="D132" s="1"/>
  <c r="C114" i="34" l="1"/>
  <c r="D114" s="1"/>
  <c r="D115" s="1"/>
  <c r="C126"/>
  <c r="D126" s="1"/>
  <c r="D127" s="1"/>
  <c r="D116" s="1"/>
  <c r="C133" i="33"/>
  <c r="D133" s="1"/>
  <c r="D134" s="1"/>
  <c r="D110" s="1"/>
  <c r="D47" s="1"/>
  <c r="C111"/>
  <c r="C131" i="30"/>
  <c r="C119"/>
  <c r="C120" s="1"/>
  <c r="D120" s="1"/>
  <c r="D121" s="1"/>
  <c r="C132"/>
  <c r="D132" s="1"/>
  <c r="D133" s="1"/>
  <c r="D122" s="1"/>
  <c r="C59"/>
  <c r="D59"/>
  <c r="C124" i="29"/>
  <c r="C112"/>
  <c r="C113" s="1"/>
  <c r="C125"/>
  <c r="D125" s="1"/>
  <c r="D126" s="1"/>
  <c r="D115" s="1"/>
  <c r="C112" i="28"/>
  <c r="C113" s="1"/>
  <c r="D113" s="1"/>
  <c r="D114" s="1"/>
  <c r="D103" s="1"/>
  <c r="D59"/>
  <c r="C124"/>
  <c r="C131" i="27"/>
  <c r="C132" s="1"/>
  <c r="D132" s="1"/>
  <c r="D133" s="1"/>
  <c r="D122" s="1"/>
  <c r="C119"/>
  <c r="C120" s="1"/>
  <c r="D120" s="1"/>
  <c r="D121" s="1"/>
  <c r="D110" s="1"/>
  <c r="D59"/>
  <c r="C121"/>
  <c r="C133"/>
  <c r="C122" s="1"/>
  <c r="C132" i="26"/>
  <c r="C120"/>
  <c r="C121" s="1"/>
  <c r="D121" s="1"/>
  <c r="D122" s="1"/>
  <c r="D111" s="1"/>
  <c r="C59"/>
  <c r="D59"/>
  <c r="C133"/>
  <c r="D133" s="1"/>
  <c r="D134" s="1"/>
  <c r="D123" i="33" l="1"/>
  <c r="C127" i="34"/>
  <c r="C116" s="1"/>
  <c r="C115"/>
  <c r="D104"/>
  <c r="D103"/>
  <c r="D47" s="1"/>
  <c r="D141" s="1"/>
  <c r="C134" i="33"/>
  <c r="D110" i="30"/>
  <c r="D109"/>
  <c r="D47" s="1"/>
  <c r="D147" s="1"/>
  <c r="C133"/>
  <c r="C122" s="1"/>
  <c r="C121"/>
  <c r="D113" i="29"/>
  <c r="D114" s="1"/>
  <c r="D102" s="1"/>
  <c r="D47" s="1"/>
  <c r="D140" s="1"/>
  <c r="C114"/>
  <c r="C103"/>
  <c r="C126"/>
  <c r="C115" s="1"/>
  <c r="C114" i="28"/>
  <c r="C103" s="1"/>
  <c r="C125"/>
  <c r="D125" s="1"/>
  <c r="D126" s="1"/>
  <c r="D109" i="27"/>
  <c r="D47" s="1"/>
  <c r="D147" s="1"/>
  <c r="C110"/>
  <c r="C109"/>
  <c r="C47" s="1"/>
  <c r="C147" s="1"/>
  <c r="C151" s="1"/>
  <c r="C122" i="26"/>
  <c r="D123"/>
  <c r="D110"/>
  <c r="D47" s="1"/>
  <c r="D148" s="1"/>
  <c r="C134"/>
  <c r="C123" s="1"/>
  <c r="C111"/>
  <c r="D103" i="29" l="1"/>
  <c r="C102"/>
  <c r="C47" s="1"/>
  <c r="C140" s="1"/>
  <c r="C144" s="1"/>
  <c r="D150" i="26"/>
  <c r="D148" i="30"/>
  <c r="D151" i="27"/>
  <c r="D144" i="29"/>
  <c r="D145" i="34"/>
  <c r="C104"/>
  <c r="C103"/>
  <c r="C47" s="1"/>
  <c r="C141" s="1"/>
  <c r="C145" s="1"/>
  <c r="C123" i="33"/>
  <c r="C110"/>
  <c r="C47" s="1"/>
  <c r="C148" s="1"/>
  <c r="C150" s="1"/>
  <c r="C110" i="30"/>
  <c r="C109"/>
  <c r="C47" s="1"/>
  <c r="C147" s="1"/>
  <c r="C148" s="1"/>
  <c r="C126" i="28"/>
  <c r="D115"/>
  <c r="D102"/>
  <c r="D47" s="1"/>
  <c r="D140" s="1"/>
  <c r="C110" i="26"/>
  <c r="C47" s="1"/>
  <c r="C148" s="1"/>
  <c r="C150" s="1"/>
  <c r="D144" i="28" l="1"/>
  <c r="C115"/>
  <c r="C102"/>
  <c r="C47" s="1"/>
  <c r="C140" s="1"/>
  <c r="C144" s="1"/>
  <c r="C94" i="25" l="1"/>
  <c r="D126"/>
  <c r="D125"/>
  <c r="D123"/>
  <c r="D114"/>
  <c r="D113"/>
  <c r="C85"/>
  <c r="D85" s="1"/>
  <c r="C83"/>
  <c r="C74"/>
  <c r="D74" s="1"/>
  <c r="C72"/>
  <c r="C63"/>
  <c r="D63" s="1"/>
  <c r="C61"/>
  <c r="C51"/>
  <c r="D51" s="1"/>
  <c r="C49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19" i="24"/>
  <c r="D119" s="1"/>
  <c r="C118"/>
  <c r="D118" s="1"/>
  <c r="C116"/>
  <c r="C107"/>
  <c r="D107" s="1"/>
  <c r="C106"/>
  <c r="D106" s="1"/>
  <c r="C104"/>
  <c r="C94"/>
  <c r="C85"/>
  <c r="D85" s="1"/>
  <c r="C83"/>
  <c r="C74"/>
  <c r="D74" s="1"/>
  <c r="C72"/>
  <c r="C63"/>
  <c r="D63" s="1"/>
  <c r="C61"/>
  <c r="C51"/>
  <c r="D51" s="1"/>
  <c r="C49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5" s="1"/>
  <c r="C126" i="23"/>
  <c r="D126" s="1"/>
  <c r="C125"/>
  <c r="D125" s="1"/>
  <c r="C123"/>
  <c r="C114"/>
  <c r="D114" s="1"/>
  <c r="C113"/>
  <c r="D113" s="1"/>
  <c r="C111"/>
  <c r="C94"/>
  <c r="C85"/>
  <c r="D85" s="1"/>
  <c r="C83"/>
  <c r="C74"/>
  <c r="D74" s="1"/>
  <c r="C72"/>
  <c r="C63"/>
  <c r="D63" s="1"/>
  <c r="C61"/>
  <c r="C51"/>
  <c r="D51" s="1"/>
  <c r="C49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D14" s="1"/>
  <c r="C119" i="22"/>
  <c r="D119" s="1"/>
  <c r="C118"/>
  <c r="D118" s="1"/>
  <c r="C116"/>
  <c r="C107"/>
  <c r="C106"/>
  <c r="D106" s="1"/>
  <c r="C104"/>
  <c r="C94"/>
  <c r="D107"/>
  <c r="C85"/>
  <c r="D85" s="1"/>
  <c r="C83"/>
  <c r="C74"/>
  <c r="D74" s="1"/>
  <c r="C72"/>
  <c r="C63"/>
  <c r="D63" s="1"/>
  <c r="C61"/>
  <c r="C51"/>
  <c r="D51" s="1"/>
  <c r="C49"/>
  <c r="D49" s="1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D14"/>
  <c r="D15" s="1"/>
  <c r="C120" i="21"/>
  <c r="D120" s="1"/>
  <c r="C119"/>
  <c r="D119" s="1"/>
  <c r="C117"/>
  <c r="C108"/>
  <c r="D108" s="1"/>
  <c r="C107"/>
  <c r="D107" s="1"/>
  <c r="C105"/>
  <c r="C95"/>
  <c r="C86"/>
  <c r="D86" s="1"/>
  <c r="C84"/>
  <c r="D84" s="1"/>
  <c r="C75"/>
  <c r="D75" s="1"/>
  <c r="C73"/>
  <c r="C63"/>
  <c r="D63" s="1"/>
  <c r="C61"/>
  <c r="C51"/>
  <c r="D51" s="1"/>
  <c r="C49"/>
  <c r="C46"/>
  <c r="C43" s="1"/>
  <c r="D45"/>
  <c r="D44"/>
  <c r="D46" s="1"/>
  <c r="D43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5" s="1"/>
  <c r="C36" i="22" l="1"/>
  <c r="C36" i="25"/>
  <c r="C37" s="1"/>
  <c r="C38" s="1"/>
  <c r="C36" i="24"/>
  <c r="C36" i="23"/>
  <c r="C37" s="1"/>
  <c r="C36" i="21"/>
  <c r="D25" i="25"/>
  <c r="D36" s="1"/>
  <c r="D37" s="1"/>
  <c r="D38" s="1"/>
  <c r="D14"/>
  <c r="D49"/>
  <c r="D61"/>
  <c r="D72"/>
  <c r="D83"/>
  <c r="D94"/>
  <c r="D111"/>
  <c r="C15"/>
  <c r="C17" s="1"/>
  <c r="C50"/>
  <c r="D50" s="1"/>
  <c r="C62"/>
  <c r="D62" s="1"/>
  <c r="C73"/>
  <c r="D73" s="1"/>
  <c r="C84"/>
  <c r="C86" s="1"/>
  <c r="C95"/>
  <c r="C96" s="1"/>
  <c r="C112"/>
  <c r="D112" s="1"/>
  <c r="C124"/>
  <c r="D124" s="1"/>
  <c r="D127" s="1"/>
  <c r="C127" i="24"/>
  <c r="C37"/>
  <c r="C38" s="1"/>
  <c r="D14"/>
  <c r="D15" s="1"/>
  <c r="D25"/>
  <c r="D36" s="1"/>
  <c r="D49"/>
  <c r="D61"/>
  <c r="D72"/>
  <c r="D83"/>
  <c r="D94"/>
  <c r="D104"/>
  <c r="D116"/>
  <c r="C17"/>
  <c r="C50"/>
  <c r="D50" s="1"/>
  <c r="C62"/>
  <c r="D62" s="1"/>
  <c r="C73"/>
  <c r="D73" s="1"/>
  <c r="C84"/>
  <c r="C86" s="1"/>
  <c r="C95"/>
  <c r="C96" s="1"/>
  <c r="C105"/>
  <c r="D105" s="1"/>
  <c r="C117"/>
  <c r="D117" s="1"/>
  <c r="C134" i="23"/>
  <c r="D15"/>
  <c r="D17" s="1"/>
  <c r="D25"/>
  <c r="D36" s="1"/>
  <c r="D49"/>
  <c r="D61"/>
  <c r="D72"/>
  <c r="D83"/>
  <c r="D94"/>
  <c r="D111"/>
  <c r="D123"/>
  <c r="C15"/>
  <c r="C17" s="1"/>
  <c r="C50"/>
  <c r="D50" s="1"/>
  <c r="C62"/>
  <c r="D62" s="1"/>
  <c r="C73"/>
  <c r="D73" s="1"/>
  <c r="C84"/>
  <c r="C86" s="1"/>
  <c r="C95"/>
  <c r="C96" s="1"/>
  <c r="C112"/>
  <c r="D112" s="1"/>
  <c r="C124"/>
  <c r="D124" s="1"/>
  <c r="C37" i="22"/>
  <c r="C38" s="1"/>
  <c r="D17"/>
  <c r="D25"/>
  <c r="D36" s="1"/>
  <c r="D61"/>
  <c r="D72"/>
  <c r="D83"/>
  <c r="D94"/>
  <c r="D104"/>
  <c r="D116"/>
  <c r="C17"/>
  <c r="C50"/>
  <c r="D50" s="1"/>
  <c r="D52" s="1"/>
  <c r="C62"/>
  <c r="D62" s="1"/>
  <c r="C73"/>
  <c r="D73" s="1"/>
  <c r="C84"/>
  <c r="C86" s="1"/>
  <c r="C95"/>
  <c r="C96" s="1"/>
  <c r="C105"/>
  <c r="D105" s="1"/>
  <c r="C117"/>
  <c r="D117" s="1"/>
  <c r="C37" i="21"/>
  <c r="C38" s="1"/>
  <c r="D14"/>
  <c r="D15" s="1"/>
  <c r="D25"/>
  <c r="D36" s="1"/>
  <c r="D49"/>
  <c r="D61"/>
  <c r="D73"/>
  <c r="D85"/>
  <c r="D87" s="1"/>
  <c r="D95"/>
  <c r="D105"/>
  <c r="D117"/>
  <c r="C17"/>
  <c r="C50"/>
  <c r="D50" s="1"/>
  <c r="C62"/>
  <c r="D62" s="1"/>
  <c r="C74"/>
  <c r="D74" s="1"/>
  <c r="C85"/>
  <c r="C87" s="1"/>
  <c r="C96"/>
  <c r="C97" s="1"/>
  <c r="C106"/>
  <c r="D106" s="1"/>
  <c r="C118"/>
  <c r="D118" s="1"/>
  <c r="C134" i="25" l="1"/>
  <c r="C38" i="23"/>
  <c r="C127" i="22"/>
  <c r="C65" i="21"/>
  <c r="D65"/>
  <c r="C128"/>
  <c r="D108" i="24"/>
  <c r="D64"/>
  <c r="D120" i="22"/>
  <c r="C97" i="25"/>
  <c r="C98" s="1"/>
  <c r="C39"/>
  <c r="C40" s="1"/>
  <c r="D134"/>
  <c r="C87"/>
  <c r="C88" s="1"/>
  <c r="C18"/>
  <c r="C19" s="1"/>
  <c r="D95"/>
  <c r="D96" s="1"/>
  <c r="D75"/>
  <c r="D52"/>
  <c r="C127"/>
  <c r="C64"/>
  <c r="D84"/>
  <c r="D86" s="1"/>
  <c r="D15"/>
  <c r="D17" s="1"/>
  <c r="D39"/>
  <c r="D40" s="1"/>
  <c r="D115"/>
  <c r="D64"/>
  <c r="C115"/>
  <c r="C75"/>
  <c r="C52"/>
  <c r="C97" i="24"/>
  <c r="C98" s="1"/>
  <c r="C39"/>
  <c r="C40" s="1"/>
  <c r="D127"/>
  <c r="C87"/>
  <c r="C88" s="1"/>
  <c r="C18"/>
  <c r="C19" s="1"/>
  <c r="D95"/>
  <c r="D96" s="1"/>
  <c r="D17"/>
  <c r="D120"/>
  <c r="D75"/>
  <c r="D52"/>
  <c r="C75"/>
  <c r="C52"/>
  <c r="D84"/>
  <c r="D86" s="1"/>
  <c r="D65"/>
  <c r="D66" s="1"/>
  <c r="D37"/>
  <c r="D38" s="1"/>
  <c r="C108"/>
  <c r="C120"/>
  <c r="C64"/>
  <c r="D134" i="23"/>
  <c r="C87"/>
  <c r="C88" s="1"/>
  <c r="C18"/>
  <c r="C19" s="1"/>
  <c r="D18"/>
  <c r="D19" s="1"/>
  <c r="C97"/>
  <c r="C98" s="1"/>
  <c r="D84"/>
  <c r="D86" s="1"/>
  <c r="D37"/>
  <c r="D38" s="1"/>
  <c r="D115"/>
  <c r="D64"/>
  <c r="C115"/>
  <c r="C127"/>
  <c r="C64"/>
  <c r="D95"/>
  <c r="D96" s="1"/>
  <c r="C39"/>
  <c r="C40" s="1"/>
  <c r="D127"/>
  <c r="D75"/>
  <c r="D52"/>
  <c r="C75"/>
  <c r="C52"/>
  <c r="C97" i="22"/>
  <c r="C98" s="1"/>
  <c r="D53"/>
  <c r="D54" s="1"/>
  <c r="C39"/>
  <c r="C40" s="1"/>
  <c r="C87"/>
  <c r="C88" s="1"/>
  <c r="C18"/>
  <c r="C19" s="1"/>
  <c r="D84"/>
  <c r="D86" s="1"/>
  <c r="D108"/>
  <c r="D64"/>
  <c r="C52"/>
  <c r="C120"/>
  <c r="C64"/>
  <c r="D95"/>
  <c r="D96" s="1"/>
  <c r="D37"/>
  <c r="D38" s="1"/>
  <c r="D18"/>
  <c r="D19" s="1"/>
  <c r="D75"/>
  <c r="C108"/>
  <c r="C75"/>
  <c r="C98" i="21"/>
  <c r="C99" s="1"/>
  <c r="D88"/>
  <c r="D89" s="1"/>
  <c r="C39"/>
  <c r="C40" s="1"/>
  <c r="C88"/>
  <c r="C89" s="1"/>
  <c r="C18"/>
  <c r="C19" s="1"/>
  <c r="D37"/>
  <c r="D38" s="1"/>
  <c r="D109"/>
  <c r="C109"/>
  <c r="C76"/>
  <c r="C52"/>
  <c r="D96"/>
  <c r="D97" s="1"/>
  <c r="D17"/>
  <c r="D121"/>
  <c r="D76"/>
  <c r="D52"/>
  <c r="C121"/>
  <c r="D127" i="22" l="1"/>
  <c r="D128" i="21"/>
  <c r="C41" i="25"/>
  <c r="C42" s="1"/>
  <c r="C24" s="1"/>
  <c r="C99"/>
  <c r="C100" s="1"/>
  <c r="C93" s="1"/>
  <c r="C76"/>
  <c r="C77" s="1"/>
  <c r="D65"/>
  <c r="D66" s="1"/>
  <c r="C65"/>
  <c r="C66" s="1"/>
  <c r="D53"/>
  <c r="D54" s="1"/>
  <c r="C53"/>
  <c r="C54" s="1"/>
  <c r="C116"/>
  <c r="D116" s="1"/>
  <c r="D41"/>
  <c r="D42" s="1"/>
  <c r="D24" s="1"/>
  <c r="D18"/>
  <c r="D19" s="1"/>
  <c r="D87"/>
  <c r="D88" s="1"/>
  <c r="C128"/>
  <c r="D128" s="1"/>
  <c r="D129" s="1"/>
  <c r="D76"/>
  <c r="D77" s="1"/>
  <c r="D97"/>
  <c r="D98" s="1"/>
  <c r="C20"/>
  <c r="C21" s="1"/>
  <c r="C89"/>
  <c r="C90" s="1"/>
  <c r="D117"/>
  <c r="D67" i="24"/>
  <c r="D68" s="1"/>
  <c r="C41"/>
  <c r="C42" s="1"/>
  <c r="C24" s="1"/>
  <c r="C99"/>
  <c r="C100" s="1"/>
  <c r="C93" s="1"/>
  <c r="D39"/>
  <c r="D40" s="1"/>
  <c r="D87"/>
  <c r="D88" s="1"/>
  <c r="C121"/>
  <c r="D121" s="1"/>
  <c r="C76"/>
  <c r="C77" s="1"/>
  <c r="D76"/>
  <c r="D77" s="1"/>
  <c r="C65"/>
  <c r="C66" s="1"/>
  <c r="C109"/>
  <c r="D109" s="1"/>
  <c r="D110" s="1"/>
  <c r="C53"/>
  <c r="C54" s="1"/>
  <c r="D53"/>
  <c r="D54" s="1"/>
  <c r="D18"/>
  <c r="D19" s="1"/>
  <c r="D97"/>
  <c r="D98" s="1"/>
  <c r="C20"/>
  <c r="C21" s="1"/>
  <c r="C89"/>
  <c r="C90" s="1"/>
  <c r="D122"/>
  <c r="D97" i="23"/>
  <c r="D98" s="1"/>
  <c r="C20"/>
  <c r="C21" s="1"/>
  <c r="C41"/>
  <c r="C42" s="1"/>
  <c r="C24" s="1"/>
  <c r="C99"/>
  <c r="C100" s="1"/>
  <c r="C93" s="1"/>
  <c r="D20"/>
  <c r="D21" s="1"/>
  <c r="C89"/>
  <c r="C90" s="1"/>
  <c r="C54"/>
  <c r="C53"/>
  <c r="D53"/>
  <c r="D54" s="1"/>
  <c r="C128"/>
  <c r="D128" s="1"/>
  <c r="D65"/>
  <c r="D66" s="1"/>
  <c r="D129"/>
  <c r="C76"/>
  <c r="C77" s="1"/>
  <c r="D76"/>
  <c r="D77" s="1"/>
  <c r="C65"/>
  <c r="C66" s="1"/>
  <c r="C116"/>
  <c r="D116" s="1"/>
  <c r="D117" s="1"/>
  <c r="D39"/>
  <c r="D40" s="1"/>
  <c r="D87"/>
  <c r="D88" s="1"/>
  <c r="C20" i="22"/>
  <c r="C21" s="1"/>
  <c r="C99"/>
  <c r="C100" s="1"/>
  <c r="C93" s="1"/>
  <c r="D97"/>
  <c r="D98" s="1"/>
  <c r="D87"/>
  <c r="D88" s="1"/>
  <c r="C89"/>
  <c r="C90" s="1"/>
  <c r="C41"/>
  <c r="C42" s="1"/>
  <c r="C24" s="1"/>
  <c r="D55"/>
  <c r="D56" s="1"/>
  <c r="C76"/>
  <c r="C77" s="1"/>
  <c r="D76"/>
  <c r="D77" s="1"/>
  <c r="C65"/>
  <c r="C66" s="1"/>
  <c r="C53"/>
  <c r="C54" s="1"/>
  <c r="C109"/>
  <c r="D109" s="1"/>
  <c r="D110" s="1"/>
  <c r="D20"/>
  <c r="D21" s="1"/>
  <c r="D39"/>
  <c r="D40" s="1"/>
  <c r="C121"/>
  <c r="D121" s="1"/>
  <c r="D122" s="1"/>
  <c r="D65"/>
  <c r="D66" s="1"/>
  <c r="D98" i="21"/>
  <c r="D99" s="1"/>
  <c r="D90"/>
  <c r="D91" s="1"/>
  <c r="C100"/>
  <c r="C101" s="1"/>
  <c r="C94" s="1"/>
  <c r="D18"/>
  <c r="D19" s="1"/>
  <c r="C41"/>
  <c r="C42" s="1"/>
  <c r="C24" s="1"/>
  <c r="C66"/>
  <c r="C67" s="1"/>
  <c r="D53"/>
  <c r="D54" s="1"/>
  <c r="C77"/>
  <c r="C78" s="1"/>
  <c r="D66"/>
  <c r="D67" s="1"/>
  <c r="C122"/>
  <c r="D122" s="1"/>
  <c r="D123" s="1"/>
  <c r="D77"/>
  <c r="D78" s="1"/>
  <c r="C53"/>
  <c r="C54" s="1"/>
  <c r="C110"/>
  <c r="D110" s="1"/>
  <c r="D111" s="1"/>
  <c r="D39"/>
  <c r="D40" s="1"/>
  <c r="C20"/>
  <c r="C21" s="1"/>
  <c r="C90"/>
  <c r="C91" s="1"/>
  <c r="C129" i="25" l="1"/>
  <c r="C130" s="1"/>
  <c r="D130" s="1"/>
  <c r="D131" s="1"/>
  <c r="C117"/>
  <c r="C118" s="1"/>
  <c r="D118" s="1"/>
  <c r="D119" s="1"/>
  <c r="C22"/>
  <c r="C23" s="1"/>
  <c r="C13" s="1"/>
  <c r="C12" s="1"/>
  <c r="D78"/>
  <c r="D79" s="1"/>
  <c r="C67"/>
  <c r="C68" s="1"/>
  <c r="C78"/>
  <c r="C79" s="1"/>
  <c r="C91"/>
  <c r="C92" s="1"/>
  <c r="C82" s="1"/>
  <c r="D99"/>
  <c r="D100" s="1"/>
  <c r="D93" s="1"/>
  <c r="D67"/>
  <c r="D68" s="1"/>
  <c r="D89"/>
  <c r="D90" s="1"/>
  <c r="D20"/>
  <c r="D21" s="1"/>
  <c r="C55"/>
  <c r="C56" s="1"/>
  <c r="D55"/>
  <c r="D56" s="1"/>
  <c r="C22" i="24"/>
  <c r="C23" s="1"/>
  <c r="C13" s="1"/>
  <c r="C12" s="1"/>
  <c r="D20"/>
  <c r="D21" s="1"/>
  <c r="C55"/>
  <c r="C56" s="1"/>
  <c r="C67"/>
  <c r="C68" s="1"/>
  <c r="C78"/>
  <c r="C79" s="1"/>
  <c r="D69"/>
  <c r="D70" s="1"/>
  <c r="D60" s="1"/>
  <c r="C91"/>
  <c r="C92" s="1"/>
  <c r="C82" s="1"/>
  <c r="D99"/>
  <c r="D100" s="1"/>
  <c r="D93" s="1"/>
  <c r="D55"/>
  <c r="D56" s="1"/>
  <c r="D78"/>
  <c r="D79" s="1"/>
  <c r="D89"/>
  <c r="D90" s="1"/>
  <c r="D41"/>
  <c r="D42" s="1"/>
  <c r="D24" s="1"/>
  <c r="C110"/>
  <c r="C122"/>
  <c r="C129" i="23"/>
  <c r="D41"/>
  <c r="D42" s="1"/>
  <c r="D24" s="1"/>
  <c r="C67"/>
  <c r="C68" s="1"/>
  <c r="C78"/>
  <c r="C79" s="1"/>
  <c r="D99"/>
  <c r="D100" s="1"/>
  <c r="D93" s="1"/>
  <c r="D89"/>
  <c r="D90" s="1"/>
  <c r="D78"/>
  <c r="D79" s="1"/>
  <c r="C22"/>
  <c r="C23" s="1"/>
  <c r="C13" s="1"/>
  <c r="C12" s="1"/>
  <c r="C117"/>
  <c r="D67"/>
  <c r="D68" s="1"/>
  <c r="D55"/>
  <c r="D56" s="1"/>
  <c r="C55"/>
  <c r="C56" s="1"/>
  <c r="C91"/>
  <c r="C92" s="1"/>
  <c r="C82" s="1"/>
  <c r="D22"/>
  <c r="D23" s="1"/>
  <c r="D13" s="1"/>
  <c r="D22" i="22"/>
  <c r="D23" s="1"/>
  <c r="D13" s="1"/>
  <c r="C55"/>
  <c r="C56" s="1"/>
  <c r="D78"/>
  <c r="D79" s="1"/>
  <c r="D57"/>
  <c r="D58" s="1"/>
  <c r="D48" s="1"/>
  <c r="C91"/>
  <c r="C92" s="1"/>
  <c r="C82" s="1"/>
  <c r="D99"/>
  <c r="D100" s="1"/>
  <c r="D93" s="1"/>
  <c r="C22"/>
  <c r="C23" s="1"/>
  <c r="C13" s="1"/>
  <c r="C12" s="1"/>
  <c r="D67"/>
  <c r="D68" s="1"/>
  <c r="D41"/>
  <c r="D42" s="1"/>
  <c r="D24" s="1"/>
  <c r="C67"/>
  <c r="C68" s="1"/>
  <c r="C78"/>
  <c r="C79" s="1"/>
  <c r="D89"/>
  <c r="D90" s="1"/>
  <c r="C122"/>
  <c r="C110"/>
  <c r="C92" i="21"/>
  <c r="C93" s="1"/>
  <c r="C83" s="1"/>
  <c r="D41"/>
  <c r="D42" s="1"/>
  <c r="D24" s="1"/>
  <c r="C55"/>
  <c r="C56" s="1"/>
  <c r="D100"/>
  <c r="D101" s="1"/>
  <c r="D94" s="1"/>
  <c r="C22"/>
  <c r="C23" s="1"/>
  <c r="C13" s="1"/>
  <c r="C12" s="1"/>
  <c r="D79"/>
  <c r="D80" s="1"/>
  <c r="D20"/>
  <c r="D21" s="1"/>
  <c r="D92"/>
  <c r="D93" s="1"/>
  <c r="D83" s="1"/>
  <c r="D68"/>
  <c r="D69" s="1"/>
  <c r="C79"/>
  <c r="C80" s="1"/>
  <c r="D55"/>
  <c r="D56" s="1"/>
  <c r="C68"/>
  <c r="C69" s="1"/>
  <c r="C111"/>
  <c r="C123"/>
  <c r="D57" i="25" l="1"/>
  <c r="D58" s="1"/>
  <c r="D48" s="1"/>
  <c r="D91"/>
  <c r="D92" s="1"/>
  <c r="D82" s="1"/>
  <c r="D69"/>
  <c r="D70" s="1"/>
  <c r="D60" s="1"/>
  <c r="C69"/>
  <c r="C70" s="1"/>
  <c r="C60" s="1"/>
  <c r="C57"/>
  <c r="C58" s="1"/>
  <c r="C48" s="1"/>
  <c r="D22"/>
  <c r="D23" s="1"/>
  <c r="D13" s="1"/>
  <c r="D12" s="1"/>
  <c r="C80"/>
  <c r="C81" s="1"/>
  <c r="C71" s="1"/>
  <c r="D80"/>
  <c r="D81" s="1"/>
  <c r="D71" s="1"/>
  <c r="C119"/>
  <c r="C131"/>
  <c r="D91" i="24"/>
  <c r="D92" s="1"/>
  <c r="D82" s="1"/>
  <c r="D57"/>
  <c r="D58" s="1"/>
  <c r="D48" s="1"/>
  <c r="C80"/>
  <c r="C81" s="1"/>
  <c r="C71" s="1"/>
  <c r="C57"/>
  <c r="C58" s="1"/>
  <c r="C48" s="1"/>
  <c r="D80"/>
  <c r="D81" s="1"/>
  <c r="D71" s="1"/>
  <c r="C69"/>
  <c r="C70" s="1"/>
  <c r="C60" s="1"/>
  <c r="D22"/>
  <c r="D23" s="1"/>
  <c r="D13" s="1"/>
  <c r="D12" s="1"/>
  <c r="C123"/>
  <c r="D123" s="1"/>
  <c r="D124" s="1"/>
  <c r="C111"/>
  <c r="D111" s="1"/>
  <c r="D112" s="1"/>
  <c r="C130" i="23"/>
  <c r="D130" s="1"/>
  <c r="D131" s="1"/>
  <c r="D91"/>
  <c r="D92" s="1"/>
  <c r="D82" s="1"/>
  <c r="C80"/>
  <c r="C81" s="1"/>
  <c r="C71" s="1"/>
  <c r="D80"/>
  <c r="D81" s="1"/>
  <c r="D71" s="1"/>
  <c r="C69"/>
  <c r="C70" s="1"/>
  <c r="C60" s="1"/>
  <c r="C59" s="1"/>
  <c r="C57"/>
  <c r="C58" s="1"/>
  <c r="C48" s="1"/>
  <c r="D57"/>
  <c r="D58" s="1"/>
  <c r="D48" s="1"/>
  <c r="D69"/>
  <c r="D70" s="1"/>
  <c r="D60" s="1"/>
  <c r="D59" s="1"/>
  <c r="D12"/>
  <c r="C118"/>
  <c r="D118" s="1"/>
  <c r="D119" s="1"/>
  <c r="D80" i="22"/>
  <c r="D81" s="1"/>
  <c r="D71" s="1"/>
  <c r="D12"/>
  <c r="C69"/>
  <c r="C70" s="1"/>
  <c r="C60" s="1"/>
  <c r="D69"/>
  <c r="D70" s="1"/>
  <c r="D60" s="1"/>
  <c r="C57"/>
  <c r="C58" s="1"/>
  <c r="C48" s="1"/>
  <c r="C123"/>
  <c r="D123" s="1"/>
  <c r="D124" s="1"/>
  <c r="D91"/>
  <c r="D92" s="1"/>
  <c r="D82" s="1"/>
  <c r="C80"/>
  <c r="C81" s="1"/>
  <c r="C71" s="1"/>
  <c r="C111"/>
  <c r="D111" s="1"/>
  <c r="D112" s="1"/>
  <c r="C70" i="21"/>
  <c r="C71" s="1"/>
  <c r="C60" s="1"/>
  <c r="C81"/>
  <c r="C82" s="1"/>
  <c r="C72" s="1"/>
  <c r="D81"/>
  <c r="D82" s="1"/>
  <c r="D72" s="1"/>
  <c r="C57"/>
  <c r="C58" s="1"/>
  <c r="C48" s="1"/>
  <c r="D57"/>
  <c r="D58" s="1"/>
  <c r="D48" s="1"/>
  <c r="D70"/>
  <c r="D71" s="1"/>
  <c r="D60" s="1"/>
  <c r="D59" s="1"/>
  <c r="D22"/>
  <c r="D23" s="1"/>
  <c r="D13" s="1"/>
  <c r="D12" s="1"/>
  <c r="C112"/>
  <c r="D112" s="1"/>
  <c r="D113" s="1"/>
  <c r="C124"/>
  <c r="D124" s="1"/>
  <c r="D125" s="1"/>
  <c r="D59" i="25" l="1"/>
  <c r="C59"/>
  <c r="C120"/>
  <c r="D120" s="1"/>
  <c r="D121" s="1"/>
  <c r="C132"/>
  <c r="D132" s="1"/>
  <c r="D133" s="1"/>
  <c r="D122" s="1"/>
  <c r="D59" i="24"/>
  <c r="C112"/>
  <c r="C124"/>
  <c r="C59"/>
  <c r="C131" i="23"/>
  <c r="C132" s="1"/>
  <c r="D132" s="1"/>
  <c r="D133" s="1"/>
  <c r="D122" s="1"/>
  <c r="C119"/>
  <c r="C133"/>
  <c r="C122" s="1"/>
  <c r="C120"/>
  <c r="D120" s="1"/>
  <c r="D121" s="1"/>
  <c r="C124" i="22"/>
  <c r="C112"/>
  <c r="C113" s="1"/>
  <c r="D113" s="1"/>
  <c r="D114" s="1"/>
  <c r="C59"/>
  <c r="D59"/>
  <c r="C125"/>
  <c r="D125" s="1"/>
  <c r="D126" s="1"/>
  <c r="D115" s="1"/>
  <c r="C59" i="21"/>
  <c r="C125"/>
  <c r="C113"/>
  <c r="C133" i="25" l="1"/>
  <c r="C122" s="1"/>
  <c r="C121"/>
  <c r="D110"/>
  <c r="D109"/>
  <c r="D47" s="1"/>
  <c r="D147" s="1"/>
  <c r="C125" i="24"/>
  <c r="D125" s="1"/>
  <c r="D126" s="1"/>
  <c r="D115" s="1"/>
  <c r="C113"/>
  <c r="D113" s="1"/>
  <c r="D114" s="1"/>
  <c r="D110" i="23"/>
  <c r="D109"/>
  <c r="D47" s="1"/>
  <c r="D147" s="1"/>
  <c r="C121"/>
  <c r="D103" i="22"/>
  <c r="D102"/>
  <c r="D47" s="1"/>
  <c r="D140" s="1"/>
  <c r="C126"/>
  <c r="C115" s="1"/>
  <c r="C114"/>
  <c r="C126" i="21"/>
  <c r="D126" s="1"/>
  <c r="D127" s="1"/>
  <c r="D116" s="1"/>
  <c r="C114"/>
  <c r="D114" s="1"/>
  <c r="D115" s="1"/>
  <c r="D151" i="25" l="1"/>
  <c r="D151" i="23"/>
  <c r="D142" i="22"/>
  <c r="C110" i="25"/>
  <c r="C109"/>
  <c r="C47" s="1"/>
  <c r="C147" s="1"/>
  <c r="C151" s="1"/>
  <c r="C126" i="24"/>
  <c r="C115" s="1"/>
  <c r="C114"/>
  <c r="C103" s="1"/>
  <c r="D103"/>
  <c r="D102"/>
  <c r="D47" s="1"/>
  <c r="D140" s="1"/>
  <c r="C110" i="23"/>
  <c r="C109"/>
  <c r="C47" s="1"/>
  <c r="C147" s="1"/>
  <c r="C151" s="1"/>
  <c r="C103" i="22"/>
  <c r="C102"/>
  <c r="C47" s="1"/>
  <c r="C140" s="1"/>
  <c r="C142" s="1"/>
  <c r="C115" i="21"/>
  <c r="C127"/>
  <c r="C116" s="1"/>
  <c r="D104"/>
  <c r="D103"/>
  <c r="D47" s="1"/>
  <c r="D141" s="1"/>
  <c r="D142" i="24" l="1"/>
  <c r="D143" i="21"/>
  <c r="C102" i="24"/>
  <c r="C47" s="1"/>
  <c r="C140" s="1"/>
  <c r="C142" s="1"/>
  <c r="C104" i="21"/>
  <c r="C103"/>
  <c r="C47" s="1"/>
  <c r="C141" s="1"/>
  <c r="C143" s="1"/>
  <c r="C121" i="20" l="1"/>
  <c r="D121" s="1"/>
  <c r="C120"/>
  <c r="D120" s="1"/>
  <c r="C118"/>
  <c r="C108"/>
  <c r="C109"/>
  <c r="D109" s="1"/>
  <c r="D108"/>
  <c r="C95"/>
  <c r="C86"/>
  <c r="D86" s="1"/>
  <c r="C84"/>
  <c r="C75"/>
  <c r="D75" s="1"/>
  <c r="C73"/>
  <c r="C63"/>
  <c r="D63" s="1"/>
  <c r="C61"/>
  <c r="C51"/>
  <c r="D51" s="1"/>
  <c r="C49"/>
  <c r="C46"/>
  <c r="C43" s="1"/>
  <c r="D45"/>
  <c r="D44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C16"/>
  <c r="D16" s="1"/>
  <c r="C14"/>
  <c r="C15" s="1"/>
  <c r="C51" i="19"/>
  <c r="D51" s="1"/>
  <c r="C49"/>
  <c r="C46"/>
  <c r="C43" s="1"/>
  <c r="D45"/>
  <c r="D44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16"/>
  <c r="D16" s="1"/>
  <c r="C14"/>
  <c r="C15" s="1"/>
  <c r="C95"/>
  <c r="C86"/>
  <c r="D86" s="1"/>
  <c r="C84"/>
  <c r="C75"/>
  <c r="D75" s="1"/>
  <c r="C73"/>
  <c r="C74" s="1"/>
  <c r="C63"/>
  <c r="D63" s="1"/>
  <c r="C61"/>
  <c r="C127"/>
  <c r="D127" s="1"/>
  <c r="C126"/>
  <c r="D126" s="1"/>
  <c r="C124"/>
  <c r="C115"/>
  <c r="D115" s="1"/>
  <c r="C114"/>
  <c r="D114" s="1"/>
  <c r="C112"/>
  <c r="C36" i="20" l="1"/>
  <c r="C62" i="19"/>
  <c r="C65" s="1"/>
  <c r="C66" s="1"/>
  <c r="C67" s="1"/>
  <c r="D36"/>
  <c r="D37" s="1"/>
  <c r="C36"/>
  <c r="D46" i="20"/>
  <c r="D43" s="1"/>
  <c r="C37"/>
  <c r="C38" s="1"/>
  <c r="D14"/>
  <c r="D15" s="1"/>
  <c r="D25"/>
  <c r="D36" s="1"/>
  <c r="D49"/>
  <c r="D61"/>
  <c r="D73"/>
  <c r="D84"/>
  <c r="D95"/>
  <c r="D106"/>
  <c r="D118"/>
  <c r="C17"/>
  <c r="C50"/>
  <c r="D50" s="1"/>
  <c r="C62"/>
  <c r="D62" s="1"/>
  <c r="C74"/>
  <c r="D74" s="1"/>
  <c r="C85"/>
  <c r="C87" s="1"/>
  <c r="C96"/>
  <c r="C97" s="1"/>
  <c r="C107"/>
  <c r="D107" s="1"/>
  <c r="C119"/>
  <c r="D119" s="1"/>
  <c r="D139" i="19"/>
  <c r="C76"/>
  <c r="D46"/>
  <c r="D43" s="1"/>
  <c r="D62"/>
  <c r="D74"/>
  <c r="D112"/>
  <c r="D124"/>
  <c r="D61"/>
  <c r="D65" s="1"/>
  <c r="D73"/>
  <c r="D76" s="1"/>
  <c r="D84"/>
  <c r="D95"/>
  <c r="D14"/>
  <c r="D15" s="1"/>
  <c r="D49"/>
  <c r="C113"/>
  <c r="D113" s="1"/>
  <c r="C125"/>
  <c r="D125" s="1"/>
  <c r="C85"/>
  <c r="C87" s="1"/>
  <c r="C96"/>
  <c r="C97" s="1"/>
  <c r="C17"/>
  <c r="C18" s="1"/>
  <c r="C50"/>
  <c r="D50" s="1"/>
  <c r="C65" i="20" l="1"/>
  <c r="D65"/>
  <c r="C129"/>
  <c r="C98"/>
  <c r="C99" s="1"/>
  <c r="C39"/>
  <c r="C40" s="1"/>
  <c r="D129"/>
  <c r="C88"/>
  <c r="C89" s="1"/>
  <c r="C18"/>
  <c r="C19" s="1"/>
  <c r="D96"/>
  <c r="D97" s="1"/>
  <c r="D17"/>
  <c r="D122"/>
  <c r="D76"/>
  <c r="D52"/>
  <c r="C76"/>
  <c r="C52"/>
  <c r="D85"/>
  <c r="D87" s="1"/>
  <c r="D37"/>
  <c r="D38" s="1"/>
  <c r="D110"/>
  <c r="C110"/>
  <c r="C122"/>
  <c r="C19" i="19"/>
  <c r="D66"/>
  <c r="D67" s="1"/>
  <c r="D68" s="1"/>
  <c r="D69" s="1"/>
  <c r="C68"/>
  <c r="C69" s="1"/>
  <c r="D77"/>
  <c r="D78" s="1"/>
  <c r="C88"/>
  <c r="C89" s="1"/>
  <c r="C135"/>
  <c r="C98"/>
  <c r="C99" s="1"/>
  <c r="D96"/>
  <c r="D97" s="1"/>
  <c r="D135"/>
  <c r="D52"/>
  <c r="D128"/>
  <c r="C52"/>
  <c r="C128"/>
  <c r="C116"/>
  <c r="D17"/>
  <c r="D85"/>
  <c r="D87" s="1"/>
  <c r="D116"/>
  <c r="D18" l="1"/>
  <c r="D19" s="1"/>
  <c r="D20" s="1"/>
  <c r="D39" i="20"/>
  <c r="D40" s="1"/>
  <c r="C41"/>
  <c r="C42" s="1"/>
  <c r="C24" s="1"/>
  <c r="C100"/>
  <c r="C101" s="1"/>
  <c r="D88"/>
  <c r="D89" s="1"/>
  <c r="C66"/>
  <c r="C67" s="1"/>
  <c r="C111"/>
  <c r="D111" s="1"/>
  <c r="D112" s="1"/>
  <c r="C77"/>
  <c r="C78" s="1"/>
  <c r="D77"/>
  <c r="D78" s="1"/>
  <c r="C123"/>
  <c r="D123" s="1"/>
  <c r="D66"/>
  <c r="D67" s="1"/>
  <c r="C53"/>
  <c r="C54" s="1"/>
  <c r="D53"/>
  <c r="D54" s="1"/>
  <c r="D18"/>
  <c r="D19" s="1"/>
  <c r="D98"/>
  <c r="D99" s="1"/>
  <c r="C20"/>
  <c r="C21" s="1"/>
  <c r="C90"/>
  <c r="C91" s="1"/>
  <c r="D124"/>
  <c r="C20" i="19"/>
  <c r="C70"/>
  <c r="C71" s="1"/>
  <c r="C60" s="1"/>
  <c r="D70"/>
  <c r="D71" s="1"/>
  <c r="D60" s="1"/>
  <c r="D79"/>
  <c r="D80" s="1"/>
  <c r="D98"/>
  <c r="D99" s="1"/>
  <c r="D88"/>
  <c r="D89" s="1"/>
  <c r="C100"/>
  <c r="C101" s="1"/>
  <c r="C94" s="1"/>
  <c r="C90"/>
  <c r="C91" s="1"/>
  <c r="C117"/>
  <c r="D117" s="1"/>
  <c r="D118" s="1"/>
  <c r="C53"/>
  <c r="C54" s="1"/>
  <c r="D53"/>
  <c r="D54" s="1"/>
  <c r="C77"/>
  <c r="C78" s="1"/>
  <c r="C129"/>
  <c r="D129" s="1"/>
  <c r="D130" s="1"/>
  <c r="C112" i="20" l="1"/>
  <c r="C22"/>
  <c r="C23" s="1"/>
  <c r="C13" s="1"/>
  <c r="C12" s="1"/>
  <c r="C55"/>
  <c r="C56" s="1"/>
  <c r="C92"/>
  <c r="C93" s="1"/>
  <c r="C83" s="1"/>
  <c r="D100"/>
  <c r="D101" s="1"/>
  <c r="D55"/>
  <c r="D56" s="1"/>
  <c r="D68"/>
  <c r="D69" s="1"/>
  <c r="D41"/>
  <c r="D42" s="1"/>
  <c r="D24" s="1"/>
  <c r="D20"/>
  <c r="D21" s="1"/>
  <c r="D90"/>
  <c r="D91" s="1"/>
  <c r="D79"/>
  <c r="D80" s="1"/>
  <c r="C79"/>
  <c r="C80" s="1"/>
  <c r="C113"/>
  <c r="D113" s="1"/>
  <c r="D114" s="1"/>
  <c r="C69"/>
  <c r="C68"/>
  <c r="C124"/>
  <c r="D21" i="19"/>
  <c r="C21"/>
  <c r="C22" s="1"/>
  <c r="C130"/>
  <c r="C118"/>
  <c r="C119" s="1"/>
  <c r="D119" s="1"/>
  <c r="D120" s="1"/>
  <c r="D90"/>
  <c r="D91" s="1"/>
  <c r="D81"/>
  <c r="D82" s="1"/>
  <c r="D72" s="1"/>
  <c r="D100"/>
  <c r="D101" s="1"/>
  <c r="D94" s="1"/>
  <c r="C131"/>
  <c r="D131" s="1"/>
  <c r="D132" s="1"/>
  <c r="C79"/>
  <c r="C80" s="1"/>
  <c r="D55"/>
  <c r="D56" s="1"/>
  <c r="C55"/>
  <c r="C56" s="1"/>
  <c r="C92"/>
  <c r="C93" s="1"/>
  <c r="C83" s="1"/>
  <c r="D22" l="1"/>
  <c r="D23" s="1"/>
  <c r="D13" s="1"/>
  <c r="C23"/>
  <c r="C13" s="1"/>
  <c r="C114" i="20"/>
  <c r="C115" s="1"/>
  <c r="D115" s="1"/>
  <c r="D116" s="1"/>
  <c r="D92"/>
  <c r="D93" s="1"/>
  <c r="D83" s="1"/>
  <c r="D57"/>
  <c r="D58" s="1"/>
  <c r="D48" s="1"/>
  <c r="D81"/>
  <c r="D82" s="1"/>
  <c r="D72" s="1"/>
  <c r="D22"/>
  <c r="D23" s="1"/>
  <c r="D13" s="1"/>
  <c r="D12" s="1"/>
  <c r="D70"/>
  <c r="D71" s="1"/>
  <c r="D60" s="1"/>
  <c r="C57"/>
  <c r="C58" s="1"/>
  <c r="C48" s="1"/>
  <c r="C125"/>
  <c r="D125" s="1"/>
  <c r="D126" s="1"/>
  <c r="C70"/>
  <c r="C71" s="1"/>
  <c r="C60" s="1"/>
  <c r="C81"/>
  <c r="C82" s="1"/>
  <c r="C72" s="1"/>
  <c r="D57" i="19"/>
  <c r="D58" s="1"/>
  <c r="D48" s="1"/>
  <c r="D92"/>
  <c r="D93" s="1"/>
  <c r="D83" s="1"/>
  <c r="C57"/>
  <c r="C58" s="1"/>
  <c r="C48" s="1"/>
  <c r="C81"/>
  <c r="C82" s="1"/>
  <c r="C72" s="1"/>
  <c r="C59" s="1"/>
  <c r="C120"/>
  <c r="C132"/>
  <c r="C126" i="20" l="1"/>
  <c r="C116"/>
  <c r="C105" s="1"/>
  <c r="D105"/>
  <c r="C59"/>
  <c r="D59"/>
  <c r="C37" i="19"/>
  <c r="D38" s="1"/>
  <c r="D39" s="1"/>
  <c r="C133"/>
  <c r="D133" s="1"/>
  <c r="D134" s="1"/>
  <c r="D123" s="1"/>
  <c r="C121"/>
  <c r="D121" s="1"/>
  <c r="D122" s="1"/>
  <c r="C127" i="20" l="1"/>
  <c r="D127" s="1"/>
  <c r="D128" s="1"/>
  <c r="D117" s="1"/>
  <c r="C38" i="19"/>
  <c r="D111"/>
  <c r="D110"/>
  <c r="C122"/>
  <c r="C134"/>
  <c r="C123" s="1"/>
  <c r="D104" i="20" l="1"/>
  <c r="D47" s="1"/>
  <c r="D142" s="1"/>
  <c r="C128"/>
  <c r="C39" i="19"/>
  <c r="D40" s="1"/>
  <c r="C111"/>
  <c r="C110"/>
  <c r="C47" s="1"/>
  <c r="D144" i="20" l="1"/>
  <c r="D41" i="19"/>
  <c r="C117" i="20"/>
  <c r="C104"/>
  <c r="C47" s="1"/>
  <c r="C142" s="1"/>
  <c r="C144" s="1"/>
  <c r="C40" i="19"/>
  <c r="D42" l="1"/>
  <c r="D24" s="1"/>
  <c r="D12" s="1"/>
  <c r="C41"/>
  <c r="D105" l="1"/>
  <c r="C42"/>
  <c r="C24" s="1"/>
  <c r="C12" s="1"/>
  <c r="C152" l="1"/>
  <c r="C148"/>
  <c r="D106"/>
  <c r="D107" s="1"/>
  <c r="D108" l="1"/>
  <c r="D109" s="1"/>
  <c r="D102" s="1"/>
  <c r="D59" s="1"/>
  <c r="D47" s="1"/>
  <c r="D148" s="1"/>
  <c r="D152" l="1"/>
  <c r="D139" i="33" l="1"/>
  <c r="D135" s="1"/>
  <c r="D148" s="1"/>
  <c r="D150" l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 АУП+уборщица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мастер по содержанию и ремонту
 1*раб.ком.обсл.зданий</t>
        </r>
      </text>
    </comment>
    <comment ref="C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з/п- 0,5* Нач.ЭЖФ
2 сварщика
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З/п- 0,2*Нач.ЭЖФ
           1 эл.монтер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З/п- 0,3*Нач.ЭЖФ
        8*Деж.Слесарь</t>
        </r>
      </text>
    </comment>
    <comment ref="C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благоустр
4 уборщика</t>
        </r>
      </text>
    </commen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 мастер брагоуст.
14 дворников
0,5 косарь</t>
        </r>
      </text>
    </comment>
  </commentList>
</comments>
</file>

<file path=xl/sharedStrings.xml><?xml version="1.0" encoding="utf-8"?>
<sst xmlns="http://schemas.openxmlformats.org/spreadsheetml/2006/main" count="2743" uniqueCount="145">
  <si>
    <t>УТВЕРЖДАЮ:</t>
  </si>
  <si>
    <t>Директор ООО "УК Единство"</t>
  </si>
  <si>
    <t>Наименование расходов</t>
  </si>
  <si>
    <t xml:space="preserve">  Затраты на 1 м2 в месяц, (руб.)</t>
  </si>
  <si>
    <r>
      <t xml:space="preserve">- </t>
    </r>
    <r>
      <rPr>
        <sz val="11"/>
        <color indexed="8"/>
        <rFont val="Cambria"/>
        <family val="1"/>
        <charset val="204"/>
        <scheme val="major"/>
      </rPr>
      <t>заработная плата</t>
    </r>
  </si>
  <si>
    <t>- обязательные отчисления  во внебюджетные социальные фонды 30,2 %</t>
  </si>
  <si>
    <t>- материалы</t>
  </si>
  <si>
    <t xml:space="preserve">  услуги СЭС, ВЦД (дератизация)</t>
  </si>
  <si>
    <t>Итого:</t>
  </si>
  <si>
    <t>Плановые накопления (рентабельность) 5 %</t>
  </si>
  <si>
    <t>УСН 6%</t>
  </si>
  <si>
    <t xml:space="preserve"> Услуги ГУП РО ИВЦ (4%)</t>
  </si>
  <si>
    <t xml:space="preserve">  вывоз и захоронение ТКО (смет)</t>
  </si>
  <si>
    <t>- заработная плата</t>
  </si>
  <si>
    <t>- отчисления на социальные нужды</t>
  </si>
  <si>
    <t>Итого по 3:</t>
  </si>
  <si>
    <t>Услуги по проверке дымовых и вент.каналов</t>
  </si>
  <si>
    <t>Экология (охрана окружающей среды)</t>
  </si>
  <si>
    <t>Аренда помещения</t>
  </si>
  <si>
    <t>Автоуслуги ( аренда транспорта)</t>
  </si>
  <si>
    <t>ГСМ</t>
  </si>
  <si>
    <t>Обучение и аттестация кадров, охрана труда и ТБ</t>
  </si>
  <si>
    <t>Банковские услуги (перечисл.зарплаты, счета)</t>
  </si>
  <si>
    <t>Связь, пресса</t>
  </si>
  <si>
    <t>Электронный документооборот</t>
  </si>
  <si>
    <t>Програмное обеспечение оргтехники</t>
  </si>
  <si>
    <t>Услуги МФЦ (паспортист)</t>
  </si>
  <si>
    <t>Размещение информации на сайте ГИС ЖКХ</t>
  </si>
  <si>
    <t>Услуги ГУП РО ИВЦ (4%) за отопление</t>
  </si>
  <si>
    <t>Услуги ГУП РО ИВЦ (4%) за вывоз и утилизацию ТКО</t>
  </si>
  <si>
    <t xml:space="preserve">Всего:  </t>
  </si>
  <si>
    <t>Председатель Совета дома        ________________________  / ___________________________ /</t>
  </si>
  <si>
    <t>"___"________________2017 г.</t>
  </si>
  <si>
    <t>Планируемые затраты на год, (руб.)</t>
  </si>
  <si>
    <t>№ п/п</t>
  </si>
  <si>
    <t>1.</t>
  </si>
  <si>
    <t>2.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</si>
  <si>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</si>
  <si>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</si>
  <si>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</si>
  <si>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Сантехническое  обслуживание</t>
  </si>
  <si>
    <t>Электротехническое обслуживание</t>
  </si>
  <si>
    <t>3.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</si>
  <si>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</si>
  <si>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</si>
  <si>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</si>
  <si>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</si>
  <si>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от "        " ____________________ 2017 года. </t>
  </si>
  <si>
    <t xml:space="preserve"> по адресу:  ул. Донецкая 5/1</t>
  </si>
  <si>
    <t xml:space="preserve"> по адресу:  ул. Ленина 11</t>
  </si>
  <si>
    <t xml:space="preserve"> по адресу:  ул. Ленина 12</t>
  </si>
  <si>
    <t>А.</t>
  </si>
  <si>
    <t>Услуги по управлению многоквартирным домом</t>
  </si>
  <si>
    <t>Площадь жилых и нежилых помещений, кв.м.</t>
  </si>
  <si>
    <t>Б.</t>
  </si>
  <si>
    <t>Работы, услуги по содержанию общего имущества</t>
  </si>
  <si>
    <t>2.3.</t>
  </si>
  <si>
    <t>2.4.</t>
  </si>
  <si>
    <t>2.5.</t>
  </si>
  <si>
    <t>Работы и услуги по содержанию иного общего имущества в многоквартирном доме</t>
  </si>
  <si>
    <t>Санитарное содержание помещений, входящих в состав общего имущества в многоквартирном доме</t>
  </si>
  <si>
    <t>3.1.1.</t>
  </si>
  <si>
    <t>3.1.2.</t>
  </si>
  <si>
    <t>Санитарное содержание земельного участка, на котором расположен МКД (придомовой территории)</t>
  </si>
  <si>
    <t>В.</t>
  </si>
  <si>
    <t>Коммунальные ресурсы, потребляемые при содержании общего имущества в многоквартирном доме</t>
  </si>
  <si>
    <t>Г.</t>
  </si>
  <si>
    <t>Работы по текущему ремонту общедомового имущества</t>
  </si>
  <si>
    <t>Услуги ГУП РО ИВЦ при потреблении коммунальных ресурсов собственниками МКД</t>
  </si>
  <si>
    <t>Прочие услуги</t>
  </si>
  <si>
    <t>Содержание АУП</t>
  </si>
  <si>
    <t>Всего плата за содержание жилого помещения</t>
  </si>
  <si>
    <t>Д.</t>
  </si>
  <si>
    <t xml:space="preserve">Вознаграждение председателю Совета дома  </t>
  </si>
  <si>
    <t xml:space="preserve">   Смета расходов по определению платы за содержание жилого помещения в многоквартирном доме на 2018 год.</t>
  </si>
  <si>
    <t xml:space="preserve">Утвержден решением общего собрания собственников, протокол № ____         </t>
  </si>
  <si>
    <t xml:space="preserve"> по адресу:  ул. Ленина 14</t>
  </si>
  <si>
    <t xml:space="preserve"> по адресу:  ул. Ленина 13-А</t>
  </si>
  <si>
    <t xml:space="preserve"> по адресу:  ул. Донецкая 1-А корп.1</t>
  </si>
  <si>
    <t xml:space="preserve"> по адресу:  ул. Ленина 15/2</t>
  </si>
  <si>
    <t xml:space="preserve"> по адресу:  ул. Ленина 16</t>
  </si>
  <si>
    <t xml:space="preserve"> по адресу:  ул. Ленина 23</t>
  </si>
  <si>
    <t xml:space="preserve"> по адресу:  ул. Строителей 83</t>
  </si>
  <si>
    <t xml:space="preserve"> по адресу:  ул. Промышленная 16</t>
  </si>
  <si>
    <t xml:space="preserve"> по адресу:  ул. Строителей 83-А</t>
  </si>
  <si>
    <t xml:space="preserve"> по адресу:  ул. Строителей 85</t>
  </si>
  <si>
    <t xml:space="preserve"> по адресу:  ул. Строителей 108</t>
  </si>
  <si>
    <t xml:space="preserve"> по адресу:  ул. Строителей 110</t>
  </si>
  <si>
    <t>Работы по техническому обслуживанию внутридомового газового оборудования</t>
  </si>
  <si>
    <t>ВДГО</t>
  </si>
  <si>
    <t>Обслуживание узла учета тепловой энергии</t>
  </si>
  <si>
    <t>__________________ Зданович А.С.</t>
  </si>
  <si>
    <t xml:space="preserve"> по адресу:  ул. Донецкая 22</t>
  </si>
  <si>
    <t>3.1.</t>
  </si>
  <si>
    <t>3.2.</t>
  </si>
  <si>
    <t>Е.</t>
  </si>
  <si>
    <t>Целевой сбор на непредвиденные работы по текущему ремонту</t>
  </si>
  <si>
    <t>Целевой сбор на непредвиденные работы по текущему ремонту общего имущества</t>
  </si>
  <si>
    <t>Целевой сбор (резерв) на непредвиденные работы по текущему ремонту общего имущества</t>
  </si>
  <si>
    <t>Член совета дома        ________________________  / ___________________________ /</t>
  </si>
  <si>
    <t>Холодное водоснабжение 2047,46</t>
  </si>
  <si>
    <t>водоотведение 1813,11</t>
  </si>
  <si>
    <t>Электроэнергия 5850,98</t>
  </si>
  <si>
    <t>Холодное водоснабжение 4233,40</t>
  </si>
  <si>
    <t>Водоотведение 3748,85</t>
  </si>
  <si>
    <t>Электроэнергия 10232,84</t>
  </si>
  <si>
    <t>Холодное водоснабжение 3274,53</t>
  </si>
  <si>
    <t>Водоотведение 2899,73</t>
  </si>
  <si>
    <t>Электроэнергия 9357,56</t>
  </si>
  <si>
    <t>Холодное водоснабжение 1261,25</t>
  </si>
  <si>
    <t>Водоотведение 1116,89</t>
  </si>
  <si>
    <t>Электроэнергия 3604,26</t>
  </si>
  <si>
    <t>Холодное водоснабжение 1297,19</t>
  </si>
  <si>
    <t>Водоотведение 1148,72</t>
  </si>
  <si>
    <t>Электроэнергия 3706,96</t>
  </si>
  <si>
    <t>Холодное водоснабжение 3292,94</t>
  </si>
  <si>
    <t>Водоотведение 2916,03</t>
  </si>
  <si>
    <t>Электроэнергия 9410,16</t>
  </si>
  <si>
    <t>Холодное водоснабжение 1288,43</t>
  </si>
  <si>
    <t>Водоотведение 1140,96</t>
  </si>
  <si>
    <t>Электроэнергия 3681,91</t>
  </si>
  <si>
    <t>Холодное водоснабжение 4156,27</t>
  </si>
  <si>
    <t>Водоотведение 3680,55</t>
  </si>
  <si>
    <t>Электроэнергия 11877,29</t>
  </si>
  <si>
    <t>Холодное водоснабжение 2428,73</t>
  </si>
  <si>
    <t>Водоотведение 2150,74</t>
  </si>
  <si>
    <t>Электроэнергия 6940,52</t>
  </si>
  <si>
    <t>Холодное водоснабжение 2541,79</t>
  </si>
  <si>
    <t>Водоотведение 2250,86</t>
  </si>
  <si>
    <t>Электроэнергия 7263,63</t>
  </si>
  <si>
    <t>Холодное водоснабжение 3384,09</t>
  </si>
  <si>
    <t>Водоотведение 2996,75</t>
  </si>
  <si>
    <t>Электроэнергия 9670,65</t>
  </si>
  <si>
    <t>Холодное водоснабжение 8607,03</t>
  </si>
  <si>
    <t>Водоотведение 7621,89</t>
  </si>
  <si>
    <t>Электроэнергия 24596,15</t>
  </si>
  <si>
    <t>Холодное водоснабжение 3093,97</t>
  </si>
  <si>
    <t>Водоотведение 2739,84</t>
  </si>
  <si>
    <t>Электроэнергия 8841,59</t>
  </si>
  <si>
    <t>Холодное водоснабжение 5116,89</t>
  </si>
  <si>
    <t>Водоотведение 4531,22</t>
  </si>
  <si>
    <t>Электроэнергия 14622,44</t>
  </si>
  <si>
    <t>Холодное водоснабжение 2300,76</t>
  </si>
  <si>
    <t>Водоотведение 2037,42</t>
  </si>
  <si>
    <t>Электроэнергия 6574,84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</si>
</sst>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u/>
      <sz val="14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i/>
      <sz val="11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1"/>
      <color rgb="FFFF0000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9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0" fillId="0" borderId="0" xfId="0" applyNumberFormat="1" applyFont="1" applyFill="1"/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2" fontId="16" fillId="0" borderId="1" xfId="0" applyNumberFormat="1" applyFont="1" applyFill="1" applyBorder="1"/>
    <xf numFmtId="0" fontId="16" fillId="0" borderId="0" xfId="0" applyFont="1" applyFill="1" applyBorder="1" applyAlignment="1">
      <alignment horizontal="left" wrapText="1"/>
    </xf>
    <xf numFmtId="0" fontId="6" fillId="0" borderId="0" xfId="0" applyFont="1" applyFill="1"/>
    <xf numFmtId="164" fontId="17" fillId="0" borderId="0" xfId="0" applyNumberFormat="1" applyFont="1" applyFill="1"/>
    <xf numFmtId="0" fontId="0" fillId="0" borderId="0" xfId="0" applyAlignment="1">
      <alignment horizontal="center" vertical="center"/>
    </xf>
    <xf numFmtId="2" fontId="3" fillId="0" borderId="0" xfId="0" applyNumberFormat="1" applyFont="1" applyFill="1"/>
    <xf numFmtId="2" fontId="14" fillId="0" borderId="1" xfId="0" applyNumberFormat="1" applyFont="1" applyFill="1" applyBorder="1"/>
    <xf numFmtId="2" fontId="15" fillId="0" borderId="1" xfId="0" applyNumberFormat="1" applyFont="1" applyFill="1" applyBorder="1"/>
    <xf numFmtId="2" fontId="16" fillId="0" borderId="0" xfId="0" applyNumberFormat="1" applyFont="1" applyFill="1" applyBorder="1" applyAlignment="1">
      <alignment horizontal="left" wrapText="1"/>
    </xf>
    <xf numFmtId="2" fontId="17" fillId="0" borderId="0" xfId="0" applyNumberFormat="1" applyFont="1" applyFill="1"/>
    <xf numFmtId="2" fontId="0" fillId="0" borderId="0" xfId="0" applyNumberFormat="1"/>
    <xf numFmtId="0" fontId="0" fillId="0" borderId="0" xfId="0" applyFill="1"/>
    <xf numFmtId="0" fontId="2" fillId="0" borderId="0" xfId="1" applyFont="1" applyFill="1"/>
    <xf numFmtId="164" fontId="4" fillId="0" borderId="0" xfId="0" applyNumberFormat="1" applyFont="1" applyFill="1"/>
    <xf numFmtId="2" fontId="9" fillId="0" borderId="0" xfId="0" applyNumberFormat="1" applyFont="1" applyFill="1"/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2" fontId="0" fillId="0" borderId="1" xfId="0" applyNumberFormat="1" applyFill="1" applyBorder="1"/>
    <xf numFmtId="0" fontId="12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8" fillId="0" borderId="0" xfId="0" applyFont="1" applyFill="1"/>
    <xf numFmtId="2" fontId="18" fillId="0" borderId="0" xfId="0" applyNumberFormat="1" applyFont="1" applyFill="1"/>
    <xf numFmtId="2" fontId="0" fillId="0" borderId="0" xfId="0" applyNumberFormat="1" applyFill="1"/>
    <xf numFmtId="2" fontId="21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14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Border="1"/>
    <xf numFmtId="0" fontId="6" fillId="3" borderId="1" xfId="0" applyFont="1" applyFill="1" applyBorder="1" applyAlignment="1">
      <alignment vertical="top" wrapText="1"/>
    </xf>
    <xf numFmtId="2" fontId="6" fillId="4" borderId="1" xfId="0" applyNumberFormat="1" applyFont="1" applyFill="1" applyBorder="1"/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workbookViewId="0">
      <selection activeCell="G155" sqref="G155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78</v>
      </c>
      <c r="C7" s="66"/>
      <c r="D7" s="66"/>
    </row>
    <row r="8" spans="1:6" ht="8.25" customHeight="1">
      <c r="B8" s="35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34"/>
      <c r="B11" s="22" t="s">
        <v>53</v>
      </c>
      <c r="C11" s="2"/>
      <c r="D11" s="2">
        <v>2215.3000000000002</v>
      </c>
    </row>
    <row r="12" spans="1:6">
      <c r="A12" s="42" t="s">
        <v>51</v>
      </c>
      <c r="B12" s="24" t="s">
        <v>52</v>
      </c>
      <c r="C12" s="2">
        <f>C13+C24+C43</f>
        <v>245658.60310788086</v>
      </c>
      <c r="D12" s="2">
        <f>D13+D24+D43</f>
        <v>9.2409832794610516</v>
      </c>
    </row>
    <row r="13" spans="1:6">
      <c r="A13" s="34" t="s">
        <v>35</v>
      </c>
      <c r="B13" s="24" t="s">
        <v>70</v>
      </c>
      <c r="C13" s="2">
        <f>C23</f>
        <v>145228.69022686803</v>
      </c>
      <c r="D13" s="2">
        <f>D23</f>
        <v>5.4630934195093221</v>
      </c>
      <c r="F13" s="17"/>
    </row>
    <row r="14" spans="1:6">
      <c r="A14" s="34"/>
      <c r="B14" s="24" t="s">
        <v>13</v>
      </c>
      <c r="C14" s="2">
        <f>(2363756.52+40177.8)/56146.82*D11</f>
        <v>94848.393891158936</v>
      </c>
      <c r="D14" s="2">
        <f>C14/D11/12</f>
        <v>3.5679288693464741</v>
      </c>
    </row>
    <row r="15" spans="1:6" ht="28.5">
      <c r="A15" s="34"/>
      <c r="B15" s="27" t="s">
        <v>5</v>
      </c>
      <c r="C15" s="2">
        <f>C14*0.302</f>
        <v>28644.214955129999</v>
      </c>
      <c r="D15" s="2">
        <f>D14*0.302</f>
        <v>1.0775145185426351</v>
      </c>
    </row>
    <row r="16" spans="1:6">
      <c r="A16" s="34"/>
      <c r="B16" s="24" t="s">
        <v>6</v>
      </c>
      <c r="C16" s="14">
        <f>50000/56146.82*D11</f>
        <v>1972.7742372586731</v>
      </c>
      <c r="D16" s="2">
        <f>C16/D11/12</f>
        <v>7.421019866604496E-2</v>
      </c>
    </row>
    <row r="17" spans="1:4">
      <c r="A17" s="34"/>
      <c r="B17" s="24" t="s">
        <v>8</v>
      </c>
      <c r="C17" s="2">
        <f>C14+C15+C16</f>
        <v>125465.38308354761</v>
      </c>
      <c r="D17" s="2">
        <f>D14+D15+D16</f>
        <v>4.7196535865551548</v>
      </c>
    </row>
    <row r="18" spans="1:4">
      <c r="A18" s="34"/>
      <c r="B18" s="3" t="s">
        <v>9</v>
      </c>
      <c r="C18" s="2">
        <f>C17*5/100</f>
        <v>6273.2691541773802</v>
      </c>
      <c r="D18" s="2">
        <f>D17*5/100</f>
        <v>0.23598267932775774</v>
      </c>
    </row>
    <row r="19" spans="1:4">
      <c r="A19" s="34"/>
      <c r="B19" s="24" t="s">
        <v>8</v>
      </c>
      <c r="C19" s="2">
        <f>C17+C18</f>
        <v>131738.65223772498</v>
      </c>
      <c r="D19" s="2">
        <f>D17+D18</f>
        <v>4.9556362658829123</v>
      </c>
    </row>
    <row r="20" spans="1:4">
      <c r="A20" s="34"/>
      <c r="B20" s="24" t="s">
        <v>10</v>
      </c>
      <c r="C20" s="2">
        <f>C19*6/100</f>
        <v>7904.3191342634991</v>
      </c>
      <c r="D20" s="2">
        <f>D19*6/100</f>
        <v>0.29733817595297474</v>
      </c>
    </row>
    <row r="21" spans="1:4">
      <c r="A21" s="34"/>
      <c r="B21" s="24" t="s">
        <v>8</v>
      </c>
      <c r="C21" s="2">
        <f>C19+C20</f>
        <v>139642.97137198847</v>
      </c>
      <c r="D21" s="2">
        <f>D19+D20</f>
        <v>5.252974441835887</v>
      </c>
    </row>
    <row r="22" spans="1:4">
      <c r="A22" s="34"/>
      <c r="B22" s="5" t="s">
        <v>11</v>
      </c>
      <c r="C22" s="2">
        <f>C21*4/100</f>
        <v>5585.7188548795393</v>
      </c>
      <c r="D22" s="2">
        <f>D21*4/100</f>
        <v>0.21011897767343549</v>
      </c>
    </row>
    <row r="23" spans="1:4">
      <c r="A23" s="34"/>
      <c r="B23" s="5" t="s">
        <v>8</v>
      </c>
      <c r="C23" s="2">
        <f>C21+C22</f>
        <v>145228.69022686803</v>
      </c>
      <c r="D23" s="2">
        <f>D21+D22</f>
        <v>5.4630934195093221</v>
      </c>
    </row>
    <row r="24" spans="1:4">
      <c r="A24" s="34" t="s">
        <v>36</v>
      </c>
      <c r="B24" s="24" t="s">
        <v>69</v>
      </c>
      <c r="C24" s="2">
        <f>C42</f>
        <v>54364.162881012831</v>
      </c>
      <c r="D24" s="2">
        <f>D42</f>
        <v>2.0450263651654716</v>
      </c>
    </row>
    <row r="25" spans="1:4">
      <c r="A25" s="34"/>
      <c r="B25" s="3" t="s">
        <v>17</v>
      </c>
      <c r="C25" s="2">
        <f>16000/56146.82*D11</f>
        <v>631.28775592277532</v>
      </c>
      <c r="D25" s="2">
        <f>C25/D11/12</f>
        <v>2.3747263573134388E-2</v>
      </c>
    </row>
    <row r="26" spans="1:4">
      <c r="A26" s="34"/>
      <c r="B26" s="3" t="s">
        <v>18</v>
      </c>
      <c r="C26" s="2">
        <f>((23200+5300)*12)/56146.82*D11</f>
        <v>13493.775782849325</v>
      </c>
      <c r="D26" s="2">
        <f>C26/D11/12</f>
        <v>0.50759775887574754</v>
      </c>
    </row>
    <row r="27" spans="1:4">
      <c r="A27" s="34"/>
      <c r="B27" s="3" t="s">
        <v>19</v>
      </c>
      <c r="C27" s="2">
        <f>26500*12/56146.82*D11</f>
        <v>12546.84414896516</v>
      </c>
      <c r="D27" s="2">
        <f>C27/D11/12</f>
        <v>0.47197686351604595</v>
      </c>
    </row>
    <row r="28" spans="1:4">
      <c r="A28" s="34"/>
      <c r="B28" s="3" t="s">
        <v>20</v>
      </c>
      <c r="C28" s="2">
        <f>45000/56146.82*D11</f>
        <v>1775.4968135328056</v>
      </c>
      <c r="D28" s="2">
        <f>C28/D11/12</f>
        <v>6.6789178799440463E-2</v>
      </c>
    </row>
    <row r="29" spans="1:4">
      <c r="A29" s="34"/>
      <c r="B29" s="3" t="s">
        <v>21</v>
      </c>
      <c r="C29" s="2">
        <f>56221.5/56146.82*D11</f>
        <v>2218.2465356007697</v>
      </c>
      <c r="D29" s="2">
        <f>C29/D11/12</f>
        <v>8.3444173686060941E-2</v>
      </c>
    </row>
    <row r="30" spans="1:4">
      <c r="A30" s="34"/>
      <c r="B30" s="3" t="s">
        <v>22</v>
      </c>
      <c r="C30" s="2">
        <f>80170.37/56146.82*D11</f>
        <v>3163.1608105499122</v>
      </c>
      <c r="D30" s="2">
        <f>C30/D11/12</f>
        <v>0.11898918169660662</v>
      </c>
    </row>
    <row r="31" spans="1:4">
      <c r="A31" s="34"/>
      <c r="B31" s="3" t="s">
        <v>23</v>
      </c>
      <c r="C31" s="2">
        <f>93800/56146.82*D11</f>
        <v>3700.9244690972705</v>
      </c>
      <c r="D31" s="2">
        <f>C31/D11/12</f>
        <v>0.13921833269750036</v>
      </c>
    </row>
    <row r="32" spans="1:4">
      <c r="A32" s="34"/>
      <c r="B32" s="3" t="s">
        <v>24</v>
      </c>
      <c r="C32" s="2">
        <f>7000/56146.82*D11</f>
        <v>276.18839321621425</v>
      </c>
      <c r="D32" s="2">
        <f>C32/D11/12</f>
        <v>1.0389427813246295E-2</v>
      </c>
    </row>
    <row r="33" spans="1:5">
      <c r="A33" s="34"/>
      <c r="B33" s="3" t="s">
        <v>25</v>
      </c>
      <c r="C33" s="2">
        <f>113064/56146.82*D11</f>
        <v>4460.994927228292</v>
      </c>
      <c r="D33" s="2">
        <f>C33/D11/12</f>
        <v>0.16781003803955416</v>
      </c>
    </row>
    <row r="34" spans="1:5">
      <c r="A34" s="34"/>
      <c r="B34" s="3" t="s">
        <v>26</v>
      </c>
      <c r="C34" s="2">
        <f>84600/56146.82*D11</f>
        <v>3337.9340094416748</v>
      </c>
      <c r="D34" s="2">
        <f>C34/D11/12</f>
        <v>0.12556365614294809</v>
      </c>
    </row>
    <row r="35" spans="1:5">
      <c r="A35" s="34"/>
      <c r="B35" s="3" t="s">
        <v>27</v>
      </c>
      <c r="C35" s="2">
        <f>34500/56146.82*D11</f>
        <v>1361.2142237084845</v>
      </c>
      <c r="D35" s="2">
        <f>C35/D11/12</f>
        <v>5.1205037079571025E-2</v>
      </c>
    </row>
    <row r="36" spans="1:5">
      <c r="A36" s="34"/>
      <c r="B36" s="24" t="s">
        <v>8</v>
      </c>
      <c r="C36" s="2">
        <f>SUM(C25:C35)</f>
        <v>46966.067870112682</v>
      </c>
      <c r="D36" s="2">
        <f>SUM(D25:D35)</f>
        <v>1.766730911919856</v>
      </c>
    </row>
    <row r="37" spans="1:5">
      <c r="A37" s="34"/>
      <c r="B37" s="3" t="s">
        <v>9</v>
      </c>
      <c r="C37" s="2">
        <f>C36*5/100</f>
        <v>2348.3033935056342</v>
      </c>
      <c r="D37" s="2">
        <f>D36*5/100</f>
        <v>8.8336545595992799E-2</v>
      </c>
    </row>
    <row r="38" spans="1:5">
      <c r="A38" s="34"/>
      <c r="B38" s="24" t="s">
        <v>8</v>
      </c>
      <c r="C38" s="2">
        <f>C36+C37</f>
        <v>49314.371263618319</v>
      </c>
      <c r="D38" s="2">
        <f>D36+D37</f>
        <v>1.8550674575158488</v>
      </c>
    </row>
    <row r="39" spans="1:5">
      <c r="A39" s="34"/>
      <c r="B39" s="24" t="s">
        <v>10</v>
      </c>
      <c r="C39" s="2">
        <f>C38*6/100</f>
        <v>2958.8622758170991</v>
      </c>
      <c r="D39" s="2">
        <f>D38*6/100</f>
        <v>0.11130404745095092</v>
      </c>
    </row>
    <row r="40" spans="1:5">
      <c r="A40" s="34"/>
      <c r="B40" s="24" t="s">
        <v>8</v>
      </c>
      <c r="C40" s="2">
        <f>C38+C39</f>
        <v>52273.233539435416</v>
      </c>
      <c r="D40" s="2">
        <f>D38+D39</f>
        <v>1.9663715049667998</v>
      </c>
    </row>
    <row r="41" spans="1:5">
      <c r="A41" s="34"/>
      <c r="B41" s="5" t="s">
        <v>11</v>
      </c>
      <c r="C41" s="2">
        <f>C40*4/100</f>
        <v>2090.9293415774168</v>
      </c>
      <c r="D41" s="2">
        <f>D40*4/100</f>
        <v>7.8654860198671989E-2</v>
      </c>
    </row>
    <row r="42" spans="1:5">
      <c r="A42" s="34"/>
      <c r="B42" s="5" t="s">
        <v>8</v>
      </c>
      <c r="C42" s="2">
        <f>SUM(C40:C41)</f>
        <v>54364.162881012831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46065.75</v>
      </c>
      <c r="D43" s="2">
        <f>D46</f>
        <v>1.7328634947862591</v>
      </c>
    </row>
    <row r="44" spans="1:5">
      <c r="A44" s="34"/>
      <c r="B44" s="5" t="s">
        <v>28</v>
      </c>
      <c r="C44" s="4">
        <v>44344.14</v>
      </c>
      <c r="D44" s="4">
        <f>C44/12/D11</f>
        <v>1.6681013858168192</v>
      </c>
    </row>
    <row r="45" spans="1:5" ht="19.5" customHeight="1">
      <c r="A45" s="34"/>
      <c r="B45" s="5" t="s">
        <v>29</v>
      </c>
      <c r="C45" s="4">
        <v>1721.61</v>
      </c>
      <c r="D45" s="4">
        <f>C45/12/D11</f>
        <v>6.4762108969439805E-2</v>
      </c>
    </row>
    <row r="46" spans="1:5">
      <c r="A46" s="34"/>
      <c r="B46" s="5" t="s">
        <v>8</v>
      </c>
      <c r="C46" s="4">
        <f>C44+C45</f>
        <v>46065.75</v>
      </c>
      <c r="D46" s="4">
        <f>D44+D45</f>
        <v>1.7328634947862591</v>
      </c>
      <c r="E46" s="36"/>
    </row>
    <row r="47" spans="1:5">
      <c r="A47" s="42" t="s">
        <v>54</v>
      </c>
      <c r="B47" s="5" t="s">
        <v>55</v>
      </c>
      <c r="C47" s="2">
        <f>C48+C59+C110</f>
        <v>362311.50776934251</v>
      </c>
      <c r="D47" s="2">
        <f>D48+D59+D110</f>
        <v>13.62913630092773</v>
      </c>
    </row>
    <row r="48" spans="1:5" ht="47.25" customHeight="1">
      <c r="A48" s="34" t="s">
        <v>35</v>
      </c>
      <c r="B48" s="28" t="s">
        <v>46</v>
      </c>
      <c r="C48" s="4">
        <f>C58</f>
        <v>24533.146429684246</v>
      </c>
      <c r="D48" s="4">
        <f>D58</f>
        <v>0.92286772407364825</v>
      </c>
    </row>
    <row r="49" spans="1:7">
      <c r="A49" s="34"/>
      <c r="B49" s="24" t="s">
        <v>13</v>
      </c>
      <c r="C49" s="2">
        <f>(214308.36+159867.48)/56146.82*D11</f>
        <v>14763.289147132466</v>
      </c>
      <c r="D49" s="2">
        <f>C49/D11/12</f>
        <v>0.55535326844868504</v>
      </c>
    </row>
    <row r="50" spans="1:7">
      <c r="A50" s="34"/>
      <c r="B50" s="24" t="s">
        <v>14</v>
      </c>
      <c r="C50" s="2">
        <f>C49*0.302</f>
        <v>4458.5133224340043</v>
      </c>
      <c r="D50" s="2">
        <f>C50/D11/12</f>
        <v>0.16771668707150289</v>
      </c>
    </row>
    <row r="51" spans="1:7">
      <c r="A51" s="34"/>
      <c r="B51" s="24" t="s">
        <v>6</v>
      </c>
      <c r="C51" s="13">
        <f>50000/56146.82*D11</f>
        <v>1972.7742372586731</v>
      </c>
      <c r="D51" s="2">
        <f>C51/D11/12</f>
        <v>7.421019866604496E-2</v>
      </c>
    </row>
    <row r="52" spans="1:7">
      <c r="A52" s="34"/>
      <c r="B52" s="24" t="s">
        <v>8</v>
      </c>
      <c r="C52" s="2">
        <f>C49+C50+C51</f>
        <v>21194.576706825144</v>
      </c>
      <c r="D52" s="2">
        <f>D49+D50+D51</f>
        <v>0.79728015418623288</v>
      </c>
    </row>
    <row r="53" spans="1:7">
      <c r="A53" s="34"/>
      <c r="B53" s="3" t="s">
        <v>9</v>
      </c>
      <c r="C53" s="2">
        <f>C52*5/100</f>
        <v>1059.7288353412573</v>
      </c>
      <c r="D53" s="2">
        <f>D52*5/100</f>
        <v>3.9864007709311644E-2</v>
      </c>
    </row>
    <row r="54" spans="1:7">
      <c r="A54" s="34"/>
      <c r="B54" s="24" t="s">
        <v>8</v>
      </c>
      <c r="C54" s="2">
        <f>C52+C53</f>
        <v>22254.305542166403</v>
      </c>
      <c r="D54" s="2">
        <f>D52+D53</f>
        <v>0.83714416189554453</v>
      </c>
    </row>
    <row r="55" spans="1:7">
      <c r="A55" s="34"/>
      <c r="B55" s="24" t="s">
        <v>10</v>
      </c>
      <c r="C55" s="2">
        <f>C54*6/100</f>
        <v>1335.2583325299843</v>
      </c>
      <c r="D55" s="2">
        <f>D54*6/100</f>
        <v>5.022864971373267E-2</v>
      </c>
    </row>
    <row r="56" spans="1:7">
      <c r="A56" s="34"/>
      <c r="B56" s="24" t="s">
        <v>8</v>
      </c>
      <c r="C56" s="2">
        <f>C54+C55</f>
        <v>23589.563874696389</v>
      </c>
      <c r="D56" s="2">
        <f>D54+D55</f>
        <v>0.88737281160927717</v>
      </c>
    </row>
    <row r="57" spans="1:7">
      <c r="A57" s="34"/>
      <c r="B57" s="5" t="s">
        <v>11</v>
      </c>
      <c r="C57" s="2">
        <f>C56*4/100</f>
        <v>943.58255498785559</v>
      </c>
      <c r="D57" s="2">
        <f>D56*4/100</f>
        <v>3.5494912464371087E-2</v>
      </c>
    </row>
    <row r="58" spans="1:7">
      <c r="A58" s="34"/>
      <c r="B58" s="5" t="s">
        <v>8</v>
      </c>
      <c r="C58" s="2">
        <f>C56+C57</f>
        <v>24533.146429684246</v>
      </c>
      <c r="D58" s="2">
        <f>D56+D57</f>
        <v>0.92286772407364825</v>
      </c>
    </row>
    <row r="59" spans="1:7" ht="63">
      <c r="A59" s="34" t="s">
        <v>36</v>
      </c>
      <c r="B59" s="28" t="s">
        <v>37</v>
      </c>
      <c r="C59" s="23">
        <f>C60+C72+C83+C94+C102</f>
        <v>170003.16325669741</v>
      </c>
      <c r="D59" s="23">
        <f>D60+D72+D83+D94+D102</f>
        <v>6.3950391691380162</v>
      </c>
      <c r="G59" s="17"/>
    </row>
    <row r="60" spans="1:7">
      <c r="A60" s="34" t="s">
        <v>38</v>
      </c>
      <c r="B60" s="24" t="s">
        <v>40</v>
      </c>
      <c r="C60" s="2">
        <f>C71</f>
        <v>40454.241205853999</v>
      </c>
      <c r="D60" s="2">
        <f>D71</f>
        <v>1.5217743723895178</v>
      </c>
    </row>
    <row r="61" spans="1:7">
      <c r="A61" s="34"/>
      <c r="B61" s="24" t="s">
        <v>13</v>
      </c>
      <c r="C61" s="2">
        <f>(402940.32+0.5*298665.6)/56146.82*D11</f>
        <v>21790.203661329353</v>
      </c>
      <c r="D61" s="2">
        <f>C61/D11/12</f>
        <v>0.81968595906232977</v>
      </c>
    </row>
    <row r="62" spans="1:7">
      <c r="A62" s="34"/>
      <c r="B62" s="24" t="s">
        <v>14</v>
      </c>
      <c r="C62" s="2">
        <f>C61*0.302</f>
        <v>6580.6415057214645</v>
      </c>
      <c r="D62" s="2">
        <f>C62/D11/12</f>
        <v>0.24754515963682358</v>
      </c>
    </row>
    <row r="63" spans="1:7">
      <c r="A63" s="34"/>
      <c r="B63" s="24" t="s">
        <v>6</v>
      </c>
      <c r="C63" s="13">
        <f>40000/56146.82*D11</f>
        <v>1578.2193898069384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0.18808588753968611</v>
      </c>
    </row>
    <row r="65" spans="1:4">
      <c r="A65" s="34"/>
      <c r="B65" s="24" t="s">
        <v>8</v>
      </c>
      <c r="C65" s="2">
        <f>C61+C62+C63+C64</f>
        <v>34949.06455685776</v>
      </c>
      <c r="D65" s="2">
        <f>D61+D62+D63+D64</f>
        <v>1.3146851651716753</v>
      </c>
    </row>
    <row r="66" spans="1:4">
      <c r="A66" s="34"/>
      <c r="B66" s="3" t="s">
        <v>9</v>
      </c>
      <c r="C66" s="2">
        <f>C65*5/100</f>
        <v>1747.4532278428878</v>
      </c>
      <c r="D66" s="2">
        <f>D65*5/100</f>
        <v>6.5734258258583769E-2</v>
      </c>
    </row>
    <row r="67" spans="1:4">
      <c r="A67" s="34"/>
      <c r="B67" s="24" t="s">
        <v>8</v>
      </c>
      <c r="C67" s="2">
        <f>C65+C66</f>
        <v>36696.517784700649</v>
      </c>
      <c r="D67" s="2">
        <f>D65+D66</f>
        <v>1.3804194234302591</v>
      </c>
    </row>
    <row r="68" spans="1:4">
      <c r="A68" s="34"/>
      <c r="B68" s="24" t="s">
        <v>10</v>
      </c>
      <c r="C68" s="2">
        <f>C67*6/100</f>
        <v>2201.7910670820393</v>
      </c>
      <c r="D68" s="2">
        <f>D67*6/100</f>
        <v>8.282516540581554E-2</v>
      </c>
    </row>
    <row r="69" spans="1:4">
      <c r="A69" s="34"/>
      <c r="B69" s="24" t="s">
        <v>8</v>
      </c>
      <c r="C69" s="2">
        <f>C67+C68</f>
        <v>38898.308851782691</v>
      </c>
      <c r="D69" s="2">
        <f>D67+D68</f>
        <v>1.4632445888360748</v>
      </c>
    </row>
    <row r="70" spans="1:4">
      <c r="A70" s="34"/>
      <c r="B70" s="5" t="s">
        <v>11</v>
      </c>
      <c r="C70" s="2">
        <f>C69*4/100</f>
        <v>1555.9323540713076</v>
      </c>
      <c r="D70" s="2">
        <f>D69*4/100</f>
        <v>5.8529783553442988E-2</v>
      </c>
    </row>
    <row r="71" spans="1:4">
      <c r="A71" s="34"/>
      <c r="B71" s="5" t="s">
        <v>8</v>
      </c>
      <c r="C71" s="2">
        <f>C69+C70</f>
        <v>40454.241205853999</v>
      </c>
      <c r="D71" s="2">
        <f>D69+D70</f>
        <v>1.5217743723895178</v>
      </c>
    </row>
    <row r="72" spans="1:4">
      <c r="A72" s="34" t="s">
        <v>39</v>
      </c>
      <c r="B72" s="24" t="s">
        <v>41</v>
      </c>
      <c r="C72" s="2">
        <f>C82</f>
        <v>14639.996003925984</v>
      </c>
      <c r="D72" s="2">
        <f>D82</f>
        <v>0.55071532839517534</v>
      </c>
    </row>
    <row r="73" spans="1:4">
      <c r="A73" s="34"/>
      <c r="B73" s="24" t="s">
        <v>13</v>
      </c>
      <c r="C73" s="2">
        <f>(171109.32+0.2*298665.6)/56146.82*D11</f>
        <v>9108.0003699586196</v>
      </c>
      <c r="D73" s="2">
        <f>C73/D11/12</f>
        <v>0.34261726665909126</v>
      </c>
    </row>
    <row r="74" spans="1:4" ht="28.5">
      <c r="A74" s="34"/>
      <c r="B74" s="27" t="s">
        <v>5</v>
      </c>
      <c r="C74" s="2">
        <f>C73*0.302</f>
        <v>2750.6161117275028</v>
      </c>
      <c r="D74" s="2">
        <f>C74/D11/12</f>
        <v>0.10347041453104555</v>
      </c>
    </row>
    <row r="75" spans="1:4">
      <c r="A75" s="34"/>
      <c r="B75" s="24" t="s">
        <v>6</v>
      </c>
      <c r="C75" s="13">
        <f>20000/56146.82*D11</f>
        <v>789.10969490346918</v>
      </c>
      <c r="D75" s="2">
        <f>C75/D11/12</f>
        <v>2.9684079466417986E-2</v>
      </c>
    </row>
    <row r="76" spans="1:4">
      <c r="A76" s="34"/>
      <c r="B76" s="24" t="s">
        <v>8</v>
      </c>
      <c r="C76" s="2">
        <f>C73+C74+C75</f>
        <v>12647.726176589591</v>
      </c>
      <c r="D76" s="2">
        <f>D73+D74+D75</f>
        <v>0.4757717606565548</v>
      </c>
    </row>
    <row r="77" spans="1:4">
      <c r="A77" s="34"/>
      <c r="B77" s="3" t="s">
        <v>9</v>
      </c>
      <c r="C77" s="2">
        <f>C76*5/100</f>
        <v>632.3863088294795</v>
      </c>
      <c r="D77" s="2">
        <f>D76*5/100</f>
        <v>2.3788588032827736E-2</v>
      </c>
    </row>
    <row r="78" spans="1:4">
      <c r="A78" s="34"/>
      <c r="B78" s="24" t="s">
        <v>8</v>
      </c>
      <c r="C78" s="2">
        <f>C76+C77</f>
        <v>13280.112485419071</v>
      </c>
      <c r="D78" s="2">
        <f>D76+D77</f>
        <v>0.49956034868938254</v>
      </c>
    </row>
    <row r="79" spans="1:4">
      <c r="A79" s="34"/>
      <c r="B79" s="24" t="s">
        <v>10</v>
      </c>
      <c r="C79" s="2">
        <f>C78*6/100</f>
        <v>796.80674912514428</v>
      </c>
      <c r="D79" s="2">
        <f>D78*6/100</f>
        <v>2.9973620921362954E-2</v>
      </c>
    </row>
    <row r="80" spans="1:4">
      <c r="A80" s="34"/>
      <c r="B80" s="24" t="s">
        <v>8</v>
      </c>
      <c r="C80" s="2">
        <f>C78+C79</f>
        <v>14076.919234544215</v>
      </c>
      <c r="D80" s="2">
        <f>D78+D79</f>
        <v>0.5295339696107455</v>
      </c>
    </row>
    <row r="81" spans="1:4">
      <c r="A81" s="34"/>
      <c r="B81" s="5" t="s">
        <v>11</v>
      </c>
      <c r="C81" s="2">
        <f>C80*4/100</f>
        <v>563.0767693817686</v>
      </c>
      <c r="D81" s="2">
        <f>D80*4/100</f>
        <v>2.1181358784429821E-2</v>
      </c>
    </row>
    <row r="82" spans="1:4">
      <c r="A82" s="34"/>
      <c r="B82" s="5" t="s">
        <v>8</v>
      </c>
      <c r="C82" s="2">
        <f>C80+C81</f>
        <v>14639.996003925984</v>
      </c>
      <c r="D82" s="2">
        <f>D80+D81</f>
        <v>0.55071532839517534</v>
      </c>
    </row>
    <row r="83" spans="1:4" ht="30.75" customHeight="1">
      <c r="A83" s="34" t="s">
        <v>56</v>
      </c>
      <c r="B83" s="28" t="s">
        <v>43</v>
      </c>
      <c r="C83" s="2">
        <f>C93</f>
        <v>88754.761646917425</v>
      </c>
      <c r="D83" s="2">
        <f>D93</f>
        <v>3.3387036235467509</v>
      </c>
    </row>
    <row r="84" spans="1:4">
      <c r="A84" s="34"/>
      <c r="B84" s="24" t="s">
        <v>13</v>
      </c>
      <c r="C84" s="2">
        <f>(1395324.48+0.3*298665.6)/56146.82*D11</f>
        <v>58588.402542619515</v>
      </c>
      <c r="D84" s="2">
        <f>C84/D11/12</f>
        <v>2.2039303383521989</v>
      </c>
    </row>
    <row r="85" spans="1:4" ht="28.5">
      <c r="A85" s="34"/>
      <c r="B85" s="27" t="s">
        <v>5</v>
      </c>
      <c r="C85" s="2">
        <f>C84*0.302</f>
        <v>17693.697567871091</v>
      </c>
      <c r="D85" s="2">
        <f>D84*0.302</f>
        <v>0.66558696218236402</v>
      </c>
    </row>
    <row r="86" spans="1:4">
      <c r="A86" s="34"/>
      <c r="B86" s="24" t="s">
        <v>6</v>
      </c>
      <c r="C86" s="13">
        <f>10000/56146.82*D11</f>
        <v>394.55484745173459</v>
      </c>
      <c r="D86" s="2">
        <f>C86/D11/12</f>
        <v>1.4842039733208993E-2</v>
      </c>
    </row>
    <row r="87" spans="1:4">
      <c r="A87" s="34"/>
      <c r="B87" s="24" t="s">
        <v>15</v>
      </c>
      <c r="C87" s="2">
        <f>C84+C85+C86</f>
        <v>76676.654957942344</v>
      </c>
      <c r="D87" s="2">
        <f>D84+D85+D86</f>
        <v>2.8843593402677716</v>
      </c>
    </row>
    <row r="88" spans="1:4">
      <c r="A88" s="34"/>
      <c r="B88" s="3" t="s">
        <v>9</v>
      </c>
      <c r="C88" s="2">
        <f>C87*5/100</f>
        <v>3833.8327478971169</v>
      </c>
      <c r="D88" s="2">
        <f>D87*5/100</f>
        <v>0.14421796701338857</v>
      </c>
    </row>
    <row r="89" spans="1:4">
      <c r="A89" s="34"/>
      <c r="B89" s="24" t="s">
        <v>8</v>
      </c>
      <c r="C89" s="2">
        <f>C87+C88</f>
        <v>80510.487705839463</v>
      </c>
      <c r="D89" s="2">
        <f>D87+D88</f>
        <v>3.0285773072811604</v>
      </c>
    </row>
    <row r="90" spans="1:4">
      <c r="A90" s="34"/>
      <c r="B90" s="24" t="s">
        <v>10</v>
      </c>
      <c r="C90" s="2">
        <f>C89*6/100</f>
        <v>4830.6292623503678</v>
      </c>
      <c r="D90" s="2">
        <f>D89*6/100</f>
        <v>0.18171463843686961</v>
      </c>
    </row>
    <row r="91" spans="1:4">
      <c r="A91" s="34"/>
      <c r="B91" s="24" t="s">
        <v>8</v>
      </c>
      <c r="C91" s="2">
        <f>C89+C90</f>
        <v>85341.116968189832</v>
      </c>
      <c r="D91" s="2">
        <f>D89+D90</f>
        <v>3.2102919457180299</v>
      </c>
    </row>
    <row r="92" spans="1:4">
      <c r="A92" s="34"/>
      <c r="B92" s="5" t="s">
        <v>11</v>
      </c>
      <c r="C92" s="2">
        <f>C91*4/100</f>
        <v>3413.6446787275931</v>
      </c>
      <c r="D92" s="2">
        <f>D91*4/100</f>
        <v>0.1284116778287212</v>
      </c>
    </row>
    <row r="93" spans="1:4">
      <c r="A93" s="34"/>
      <c r="B93" s="5" t="s">
        <v>8</v>
      </c>
      <c r="C93" s="2">
        <f>C91+C92</f>
        <v>88754.761646917425</v>
      </c>
      <c r="D93" s="2">
        <f>D91+D92</f>
        <v>3.3387036235467509</v>
      </c>
    </row>
    <row r="94" spans="1:4" ht="31.5">
      <c r="A94" s="34" t="s">
        <v>57</v>
      </c>
      <c r="B94" s="28" t="s">
        <v>44</v>
      </c>
      <c r="C94" s="23">
        <f>C101</f>
        <v>25002.432000000001</v>
      </c>
      <c r="D94" s="23">
        <f>D101</f>
        <v>0.94052092267412968</v>
      </c>
    </row>
    <row r="95" spans="1:4">
      <c r="A95" s="34"/>
      <c r="B95" s="3" t="s">
        <v>16</v>
      </c>
      <c r="C95" s="13">
        <f>40*180*3</f>
        <v>21600</v>
      </c>
      <c r="D95" s="2">
        <f>C95/D11/12</f>
        <v>0.8125310341714439</v>
      </c>
    </row>
    <row r="96" spans="1:4">
      <c r="A96" s="34"/>
      <c r="B96" s="3" t="s">
        <v>9</v>
      </c>
      <c r="C96" s="2">
        <f>C95*5/100</f>
        <v>1080</v>
      </c>
      <c r="D96" s="2">
        <f>D95*5/100</f>
        <v>4.0626551708572191E-2</v>
      </c>
    </row>
    <row r="97" spans="1:4">
      <c r="A97" s="34"/>
      <c r="B97" s="24" t="s">
        <v>8</v>
      </c>
      <c r="C97" s="2">
        <f>C95+C96</f>
        <v>22680</v>
      </c>
      <c r="D97" s="2">
        <f>D95+D96</f>
        <v>0.85315758588001611</v>
      </c>
    </row>
    <row r="98" spans="1:4">
      <c r="A98" s="34"/>
      <c r="B98" s="24" t="s">
        <v>10</v>
      </c>
      <c r="C98" s="2">
        <f>C97*6/100</f>
        <v>1360.8</v>
      </c>
      <c r="D98" s="2">
        <f>D97*6/100</f>
        <v>5.1189455152800968E-2</v>
      </c>
    </row>
    <row r="99" spans="1:4">
      <c r="A99" s="34"/>
      <c r="B99" s="24" t="s">
        <v>8</v>
      </c>
      <c r="C99" s="2">
        <f>C97+C98</f>
        <v>24040.799999999999</v>
      </c>
      <c r="D99" s="2">
        <f>D97+D98</f>
        <v>0.90434704103281705</v>
      </c>
    </row>
    <row r="100" spans="1:4">
      <c r="A100" s="34"/>
      <c r="B100" s="5" t="s">
        <v>11</v>
      </c>
      <c r="C100" s="2">
        <f>C99*4/100</f>
        <v>961.63199999999995</v>
      </c>
      <c r="D100" s="2">
        <f>D99*4/100</f>
        <v>3.6173881641312682E-2</v>
      </c>
    </row>
    <row r="101" spans="1:4">
      <c r="A101" s="34"/>
      <c r="B101" s="5" t="s">
        <v>8</v>
      </c>
      <c r="C101" s="2">
        <f>C99+C100</f>
        <v>25002.432000000001</v>
      </c>
      <c r="D101" s="2">
        <f>D99+D100</f>
        <v>0.94052092267412968</v>
      </c>
    </row>
    <row r="102" spans="1:4" ht="31.5">
      <c r="A102" s="34" t="s">
        <v>58</v>
      </c>
      <c r="B102" s="28" t="s">
        <v>88</v>
      </c>
      <c r="C102" s="13">
        <f>C109</f>
        <v>1151.7323999999999</v>
      </c>
      <c r="D102" s="13">
        <f>D109</f>
        <v>4.3324922132442559E-2</v>
      </c>
    </row>
    <row r="103" spans="1:4">
      <c r="A103" s="47"/>
      <c r="B103" s="48" t="s">
        <v>89</v>
      </c>
      <c r="C103" s="2">
        <v>995</v>
      </c>
      <c r="D103" s="49">
        <f>C103/12/D11</f>
        <v>3.7429091620397537E-2</v>
      </c>
    </row>
    <row r="104" spans="1:4">
      <c r="A104" s="47"/>
      <c r="B104" s="50" t="s">
        <v>9</v>
      </c>
      <c r="C104" s="51">
        <f>C103*5/100</f>
        <v>49.75</v>
      </c>
      <c r="D104" s="51">
        <f>D103*5/100</f>
        <v>1.8714545810198768E-3</v>
      </c>
    </row>
    <row r="105" spans="1:4">
      <c r="A105" s="47"/>
      <c r="B105" s="52" t="s">
        <v>8</v>
      </c>
      <c r="C105" s="51">
        <f>C103+C104</f>
        <v>1044.75</v>
      </c>
      <c r="D105" s="49">
        <f>D103+D104</f>
        <v>3.9300546201417416E-2</v>
      </c>
    </row>
    <row r="106" spans="1:4">
      <c r="A106" s="47"/>
      <c r="B106" s="53" t="s">
        <v>10</v>
      </c>
      <c r="C106" s="51">
        <f>C105*6/100</f>
        <v>62.685000000000002</v>
      </c>
      <c r="D106" s="51">
        <f>D105*6/100</f>
        <v>2.3580327720850451E-3</v>
      </c>
    </row>
    <row r="107" spans="1:4">
      <c r="A107" s="47"/>
      <c r="B107" s="52" t="s">
        <v>8</v>
      </c>
      <c r="C107" s="51">
        <f>C105+C106</f>
        <v>1107.4349999999999</v>
      </c>
      <c r="D107" s="49">
        <f>D105+D106</f>
        <v>4.1658578973502461E-2</v>
      </c>
    </row>
    <row r="108" spans="1:4">
      <c r="A108" s="47"/>
      <c r="B108" s="54" t="s">
        <v>11</v>
      </c>
      <c r="C108" s="51">
        <f>C107*4/100</f>
        <v>44.297399999999996</v>
      </c>
      <c r="D108" s="51">
        <f>D107*4/100</f>
        <v>1.6663431589400985E-3</v>
      </c>
    </row>
    <row r="109" spans="1:4">
      <c r="A109" s="47"/>
      <c r="B109" s="5" t="s">
        <v>8</v>
      </c>
      <c r="C109" s="2">
        <f>C107+C108</f>
        <v>1151.7323999999999</v>
      </c>
      <c r="D109" s="2">
        <f>D107+D108</f>
        <v>4.3324922132442559E-2</v>
      </c>
    </row>
    <row r="110" spans="1:4" ht="29.25">
      <c r="A110" s="37" t="s">
        <v>42</v>
      </c>
      <c r="B110" s="22" t="s">
        <v>59</v>
      </c>
      <c r="C110" s="23">
        <f>C122+C134</f>
        <v>167775.19808296085</v>
      </c>
      <c r="D110" s="23">
        <f>D122+D134</f>
        <v>6.3112294077160662</v>
      </c>
    </row>
    <row r="111" spans="1:4" ht="31.5" customHeight="1">
      <c r="A111" s="34" t="s">
        <v>61</v>
      </c>
      <c r="B111" s="24" t="s">
        <v>60</v>
      </c>
      <c r="C111" s="25">
        <f>C122</f>
        <v>36623.056270295041</v>
      </c>
      <c r="D111" s="2">
        <f>D122</f>
        <v>1.3776560086028617</v>
      </c>
    </row>
    <row r="112" spans="1:4">
      <c r="A112" s="34"/>
      <c r="B112" s="26" t="s">
        <v>4</v>
      </c>
      <c r="C112" s="33">
        <f>233.6*91.16</f>
        <v>21294.975999999999</v>
      </c>
      <c r="D112" s="2">
        <f>C112/D11/12</f>
        <v>0.80105689221926291</v>
      </c>
    </row>
    <row r="113" spans="1:4" ht="28.5">
      <c r="A113" s="34"/>
      <c r="B113" s="27" t="s">
        <v>5</v>
      </c>
      <c r="C113" s="2">
        <f>C112*0.302</f>
        <v>6431.0827519999993</v>
      </c>
      <c r="D113" s="2">
        <f>C113/D11/12</f>
        <v>0.24191918145021737</v>
      </c>
    </row>
    <row r="114" spans="1:4">
      <c r="A114" s="34"/>
      <c r="B114" s="24" t="s">
        <v>6</v>
      </c>
      <c r="C114" s="33">
        <f>233.6*8.19</f>
        <v>1913.1839999999997</v>
      </c>
      <c r="D114" s="2">
        <f>C114/D11/12</f>
        <v>7.1968582133345352E-2</v>
      </c>
    </row>
    <row r="115" spans="1:4">
      <c r="A115" s="34"/>
      <c r="B115" s="3" t="s">
        <v>7</v>
      </c>
      <c r="C115" s="13">
        <f>400*5</f>
        <v>2000</v>
      </c>
      <c r="D115" s="2">
        <f>C115/D11/12</f>
        <v>7.5234355015874443E-2</v>
      </c>
    </row>
    <row r="116" spans="1:4">
      <c r="A116" s="34"/>
      <c r="B116" s="24" t="s">
        <v>8</v>
      </c>
      <c r="C116" s="2">
        <f>C112+C113+C114+C115</f>
        <v>31639.242751999998</v>
      </c>
      <c r="D116" s="2">
        <f>D112+D113+D114+D115</f>
        <v>1.1901790108187</v>
      </c>
    </row>
    <row r="117" spans="1:4">
      <c r="A117" s="34"/>
      <c r="B117" s="3" t="s">
        <v>9</v>
      </c>
      <c r="C117" s="2">
        <f>C116*5/100</f>
        <v>1581.9621375999998</v>
      </c>
      <c r="D117" s="2">
        <f>C117/D11/12</f>
        <v>5.9508950540934996E-2</v>
      </c>
    </row>
    <row r="118" spans="1:4">
      <c r="A118" s="34"/>
      <c r="B118" s="24" t="s">
        <v>8</v>
      </c>
      <c r="C118" s="2">
        <f>C116+C117</f>
        <v>33221.204889599998</v>
      </c>
      <c r="D118" s="2">
        <f>D116+D117</f>
        <v>1.249687961359635</v>
      </c>
    </row>
    <row r="119" spans="1:4">
      <c r="A119" s="34"/>
      <c r="B119" s="24" t="s">
        <v>10</v>
      </c>
      <c r="C119" s="2">
        <f>C118*6/100</f>
        <v>1993.2722933760001</v>
      </c>
      <c r="D119" s="2">
        <f>C119/D11/12</f>
        <v>7.4981277681578112E-2</v>
      </c>
    </row>
    <row r="120" spans="1:4">
      <c r="A120" s="34"/>
      <c r="B120" s="24" t="s">
        <v>8</v>
      </c>
      <c r="C120" s="2">
        <f>C118+C119</f>
        <v>35214.477182975999</v>
      </c>
      <c r="D120" s="2">
        <f>D118+D119</f>
        <v>1.3246692390412131</v>
      </c>
    </row>
    <row r="121" spans="1:4">
      <c r="A121" s="34"/>
      <c r="B121" s="5" t="s">
        <v>11</v>
      </c>
      <c r="C121" s="2">
        <f>C120*4/100</f>
        <v>1408.5790873190399</v>
      </c>
      <c r="D121" s="2">
        <f>C121/D11/12</f>
        <v>5.2986769561648529E-2</v>
      </c>
    </row>
    <row r="122" spans="1:4">
      <c r="A122" s="34"/>
      <c r="B122" s="5" t="s">
        <v>8</v>
      </c>
      <c r="C122" s="2">
        <f>C120+C121</f>
        <v>36623.056270295041</v>
      </c>
      <c r="D122" s="2">
        <f>D120+D121</f>
        <v>1.3776560086028617</v>
      </c>
    </row>
    <row r="123" spans="1:4" ht="30.75" customHeight="1">
      <c r="A123" s="34" t="s">
        <v>62</v>
      </c>
      <c r="B123" s="24" t="s">
        <v>63</v>
      </c>
      <c r="C123" s="2">
        <f>C134</f>
        <v>131152.1418126658</v>
      </c>
      <c r="D123" s="2">
        <f>D134</f>
        <v>4.9335733991132047</v>
      </c>
    </row>
    <row r="124" spans="1:4">
      <c r="A124" s="34"/>
      <c r="B124" s="26" t="s">
        <v>4</v>
      </c>
      <c r="C124" s="13">
        <f>2708.7*29.52</f>
        <v>79960.823999999993</v>
      </c>
      <c r="D124" s="2">
        <f>C124/D11/12</f>
        <v>3.0079005100889264</v>
      </c>
    </row>
    <row r="125" spans="1:4" ht="28.5">
      <c r="A125" s="34"/>
      <c r="B125" s="27" t="s">
        <v>5</v>
      </c>
      <c r="C125" s="2">
        <f>C124*0.302</f>
        <v>24148.168847999998</v>
      </c>
      <c r="D125" s="2">
        <f>C125/D11/12</f>
        <v>0.90838595404685574</v>
      </c>
    </row>
    <row r="126" spans="1:4">
      <c r="A126" s="34"/>
      <c r="B126" s="24" t="s">
        <v>6</v>
      </c>
      <c r="C126" s="13">
        <f>2708.7*1.91</f>
        <v>5173.6169999999993</v>
      </c>
      <c r="D126" s="2">
        <f>C126/D11/12</f>
        <v>0.19461686904708161</v>
      </c>
    </row>
    <row r="127" spans="1:4">
      <c r="A127" s="34"/>
      <c r="B127" s="3" t="s">
        <v>12</v>
      </c>
      <c r="C127" s="13">
        <f>(64000+12000)/51186.1*2708.7</f>
        <v>4021.8184233610295</v>
      </c>
      <c r="D127" s="2">
        <f>C127/D11/12</f>
        <v>0.15128945753626405</v>
      </c>
    </row>
    <row r="128" spans="1:4">
      <c r="A128" s="34"/>
      <c r="B128" s="24" t="s">
        <v>8</v>
      </c>
      <c r="C128" s="2">
        <f>C124+C125+C126+C127</f>
        <v>113304.42827136102</v>
      </c>
      <c r="D128" s="2">
        <f>D124+D125+D126+D127</f>
        <v>4.2621927907191282</v>
      </c>
    </row>
    <row r="129" spans="1:6">
      <c r="A129" s="34"/>
      <c r="B129" s="3" t="s">
        <v>9</v>
      </c>
      <c r="C129" s="2">
        <f>C128*5/100</f>
        <v>5665.2214135680515</v>
      </c>
      <c r="D129" s="2">
        <f>C129/D11/12</f>
        <v>0.21310963953595641</v>
      </c>
    </row>
    <row r="130" spans="1:6">
      <c r="A130" s="34"/>
      <c r="B130" s="24" t="s">
        <v>8</v>
      </c>
      <c r="C130" s="2">
        <f>C128+C129</f>
        <v>118969.64968492907</v>
      </c>
      <c r="D130" s="2">
        <f>D128+D129</f>
        <v>4.4753024302550841</v>
      </c>
    </row>
    <row r="131" spans="1:6">
      <c r="A131" s="34"/>
      <c r="B131" s="24" t="s">
        <v>10</v>
      </c>
      <c r="C131" s="2">
        <f>C130*6/100</f>
        <v>7138.1789810957443</v>
      </c>
      <c r="D131" s="2">
        <f>C131/D11/12</f>
        <v>0.26851814581530503</v>
      </c>
    </row>
    <row r="132" spans="1:6">
      <c r="A132" s="34"/>
      <c r="B132" s="24" t="s">
        <v>8</v>
      </c>
      <c r="C132" s="2">
        <f>C130+C131</f>
        <v>126107.82866602481</v>
      </c>
      <c r="D132" s="2">
        <f>D130+D131</f>
        <v>4.7438205760703891</v>
      </c>
    </row>
    <row r="133" spans="1:6">
      <c r="A133" s="34"/>
      <c r="B133" s="5" t="s">
        <v>11</v>
      </c>
      <c r="C133" s="2">
        <f>C132*4/100</f>
        <v>5044.3131466409923</v>
      </c>
      <c r="D133" s="2">
        <f>C133/D11/12</f>
        <v>0.18975282304281557</v>
      </c>
    </row>
    <row r="134" spans="1:6">
      <c r="A134" s="34"/>
      <c r="B134" s="5" t="s">
        <v>8</v>
      </c>
      <c r="C134" s="2">
        <f>C132+C133</f>
        <v>131152.1418126658</v>
      </c>
      <c r="D134" s="2">
        <f>D132+D133</f>
        <v>4.9335733991132047</v>
      </c>
    </row>
    <row r="135" spans="1:6" ht="44.25" customHeight="1">
      <c r="A135" s="42" t="s">
        <v>64</v>
      </c>
      <c r="B135" s="5" t="s">
        <v>65</v>
      </c>
      <c r="C135" s="4">
        <f>C139+C147+C143</f>
        <v>994.46271999999988</v>
      </c>
      <c r="D135" s="4">
        <f>D139+D147+D143</f>
        <v>3.7408880663266073E-2</v>
      </c>
      <c r="F135" s="17"/>
    </row>
    <row r="136" spans="1:6">
      <c r="A136" s="34" t="s">
        <v>35</v>
      </c>
      <c r="B136" s="5" t="s">
        <v>100</v>
      </c>
      <c r="C136" s="46"/>
      <c r="D136" s="4"/>
    </row>
    <row r="137" spans="1:6">
      <c r="A137" s="34"/>
      <c r="B137" s="24" t="s">
        <v>10</v>
      </c>
      <c r="C137" s="2">
        <f>2047.46*6/100</f>
        <v>122.8476</v>
      </c>
      <c r="D137" s="4">
        <f>C137/12/D11</f>
        <v>4.6211799756240681E-3</v>
      </c>
    </row>
    <row r="138" spans="1:6">
      <c r="A138" s="34"/>
      <c r="B138" s="5" t="s">
        <v>11</v>
      </c>
      <c r="C138" s="2">
        <f>(2047.46+C137)*4/100</f>
        <v>86.812303999999997</v>
      </c>
      <c r="D138" s="4">
        <f>C138/12/D11</f>
        <v>3.2656338494410084E-3</v>
      </c>
    </row>
    <row r="139" spans="1:6">
      <c r="A139" s="34"/>
      <c r="B139" s="5" t="s">
        <v>8</v>
      </c>
      <c r="C139" s="2">
        <f>C137+C138</f>
        <v>209.65990399999998</v>
      </c>
      <c r="D139" s="2">
        <f>D137+D138</f>
        <v>7.8868138250650765E-3</v>
      </c>
    </row>
    <row r="140" spans="1:6">
      <c r="A140" s="55" t="s">
        <v>36</v>
      </c>
      <c r="B140" s="5" t="s">
        <v>101</v>
      </c>
      <c r="C140" s="46"/>
      <c r="D140" s="4"/>
    </row>
    <row r="141" spans="1:6">
      <c r="A141" s="55"/>
      <c r="B141" s="24" t="s">
        <v>10</v>
      </c>
      <c r="C141" s="2">
        <f>1813.11*6/100</f>
        <v>108.78659999999999</v>
      </c>
      <c r="D141" s="4">
        <f>C141/12/D11</f>
        <v>4.0922448426849636E-3</v>
      </c>
    </row>
    <row r="142" spans="1:6">
      <c r="A142" s="55"/>
      <c r="B142" s="5" t="s">
        <v>11</v>
      </c>
      <c r="C142" s="2">
        <f>(1813.11+C141)*4/100</f>
        <v>76.875863999999993</v>
      </c>
      <c r="D142" s="4">
        <f>C142/12/D11</f>
        <v>2.8918530221640404E-3</v>
      </c>
    </row>
    <row r="143" spans="1:6">
      <c r="A143" s="55"/>
      <c r="B143" s="5" t="s">
        <v>8</v>
      </c>
      <c r="C143" s="2">
        <f>C141+C142</f>
        <v>185.662464</v>
      </c>
      <c r="D143" s="2">
        <f>D141+D142</f>
        <v>6.9840978648490039E-3</v>
      </c>
    </row>
    <row r="144" spans="1:6">
      <c r="A144" s="34" t="s">
        <v>42</v>
      </c>
      <c r="B144" s="5" t="s">
        <v>102</v>
      </c>
      <c r="C144" s="46"/>
      <c r="D144" s="4"/>
    </row>
    <row r="145" spans="1:5">
      <c r="A145" s="34"/>
      <c r="B145" s="24" t="s">
        <v>10</v>
      </c>
      <c r="C145" s="2">
        <f>5850.98*6/100</f>
        <v>351.05879999999996</v>
      </c>
      <c r="D145" s="4">
        <f>C145/12/D11</f>
        <v>1.3205841195323429E-2</v>
      </c>
    </row>
    <row r="146" spans="1:5">
      <c r="A146" s="34"/>
      <c r="B146" s="5" t="s">
        <v>11</v>
      </c>
      <c r="C146" s="2">
        <f>(5850.98+C145)*4/100</f>
        <v>248.08155199999999</v>
      </c>
      <c r="D146" s="4">
        <f>C146/12/D11</f>
        <v>9.3321277780285573E-3</v>
      </c>
    </row>
    <row r="147" spans="1:5">
      <c r="A147" s="34"/>
      <c r="B147" s="5" t="s">
        <v>8</v>
      </c>
      <c r="C147" s="2">
        <f>C145+C146</f>
        <v>599.14035199999989</v>
      </c>
      <c r="D147" s="4">
        <f>D145+D146</f>
        <v>2.2537968973351988E-2</v>
      </c>
    </row>
    <row r="148" spans="1:5">
      <c r="A148" s="34"/>
      <c r="B148" s="6" t="s">
        <v>30</v>
      </c>
      <c r="C148" s="2">
        <f>C12+C47+C135</f>
        <v>608964.57359722327</v>
      </c>
      <c r="D148" s="2">
        <f>D12+D47+D135</f>
        <v>22.907528461052049</v>
      </c>
      <c r="E148" s="17"/>
    </row>
    <row r="149" spans="1:5" ht="28.5">
      <c r="A149" s="42" t="s">
        <v>66</v>
      </c>
      <c r="B149" s="24" t="s">
        <v>67</v>
      </c>
      <c r="C149" s="2">
        <v>45411</v>
      </c>
      <c r="D149" s="29">
        <v>1.71</v>
      </c>
    </row>
    <row r="150" spans="1:5" hidden="1">
      <c r="A150" s="34"/>
      <c r="B150" s="6" t="s">
        <v>30</v>
      </c>
      <c r="C150" s="7"/>
      <c r="D150" s="7"/>
    </row>
    <row r="151" spans="1:5" hidden="1">
      <c r="A151" s="42" t="s">
        <v>72</v>
      </c>
      <c r="B151" s="3" t="s">
        <v>73</v>
      </c>
      <c r="C151" s="2">
        <v>0</v>
      </c>
      <c r="D151" s="2">
        <v>0</v>
      </c>
    </row>
    <row r="152" spans="1:5">
      <c r="A152" s="34"/>
      <c r="B152" s="41" t="s">
        <v>71</v>
      </c>
      <c r="C152" s="2">
        <f>C148+C149</f>
        <v>654375.57359722327</v>
      </c>
      <c r="D152" s="2">
        <f>D148+D149</f>
        <v>24.61752846105205</v>
      </c>
    </row>
    <row r="153" spans="1:5">
      <c r="B153" s="8"/>
      <c r="C153" s="15"/>
      <c r="D153" s="8"/>
    </row>
    <row r="154" spans="1:5">
      <c r="B154" s="9" t="s">
        <v>75</v>
      </c>
      <c r="C154" s="16"/>
      <c r="D154" s="10"/>
    </row>
    <row r="155" spans="1:5" ht="15.75">
      <c r="B155" s="30" t="s">
        <v>47</v>
      </c>
      <c r="C155" s="31"/>
      <c r="D155" s="30"/>
    </row>
    <row r="156" spans="1:5" ht="15.75">
      <c r="B156" s="30"/>
      <c r="C156" s="31"/>
      <c r="D156" s="30"/>
    </row>
    <row r="157" spans="1:5">
      <c r="B157" s="72" t="s">
        <v>31</v>
      </c>
      <c r="C157" s="72"/>
      <c r="D157" s="72"/>
    </row>
    <row r="158" spans="1:5" ht="15.75">
      <c r="B158" s="30"/>
      <c r="C158" s="31"/>
      <c r="D158" s="30"/>
    </row>
  </sheetData>
  <mergeCells count="11">
    <mergeCell ref="A9:A10"/>
    <mergeCell ref="B9:B10"/>
    <mergeCell ref="C9:C10"/>
    <mergeCell ref="D9:D10"/>
    <mergeCell ref="B157:D157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2"/>
  <sheetViews>
    <sheetView zoomScale="120" zoomScaleNormal="120" workbookViewId="0">
      <selection activeCell="D139" sqref="D139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81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2187.3000000000002</v>
      </c>
    </row>
    <row r="12" spans="1:6">
      <c r="A12" s="42" t="s">
        <v>51</v>
      </c>
      <c r="B12" s="24" t="s">
        <v>52</v>
      </c>
      <c r="C12" s="2">
        <f>C13+C24+C43</f>
        <v>218694.05611025466</v>
      </c>
      <c r="D12" s="2">
        <f>D13+D24+D43</f>
        <v>8.3319639170916453</v>
      </c>
    </row>
    <row r="13" spans="1:6">
      <c r="A13" s="43" t="s">
        <v>35</v>
      </c>
      <c r="B13" s="24" t="s">
        <v>70</v>
      </c>
      <c r="C13" s="2">
        <f>C23</f>
        <v>143501.49208793743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93649.569791058515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C14*0.303</f>
        <v>28375.819646690728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1947.8396105068821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123973.22904825612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6198.6614524128054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130171.89050066893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7810.3134300401362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137982.20393070907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5519.2881572283632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143501.49208793743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53677.034022317246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623.30867536220217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13323.222935867074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12388.259922823769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1753.0556494561936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2190.2092932422534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3123.1804454998523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3654.1471093109108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272.69754547096346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4404.6107544470015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3295.7446209776444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1344.0093312497486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46372.446283707613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2318.6223141853807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48691.068597892998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2921.4641158735799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51612.532713766581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2064.5013085506635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53677.034022317246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21515.530000000002</v>
      </c>
      <c r="D43" s="2">
        <f>D46</f>
        <v>0.8197141833920053</v>
      </c>
    </row>
    <row r="44" spans="1:5">
      <c r="A44" s="43"/>
      <c r="B44" s="5" t="s">
        <v>28</v>
      </c>
      <c r="C44" s="46">
        <v>19906.88</v>
      </c>
      <c r="D44" s="4">
        <f>C44/12/D11</f>
        <v>0.75842667520078022</v>
      </c>
    </row>
    <row r="45" spans="1:5" ht="19.5" customHeight="1">
      <c r="A45" s="43"/>
      <c r="B45" s="5" t="s">
        <v>29</v>
      </c>
      <c r="C45" s="46">
        <v>1608.65</v>
      </c>
      <c r="D45" s="4">
        <f>C45/12/D11</f>
        <v>6.1287508191225103E-2</v>
      </c>
    </row>
    <row r="46" spans="1:5">
      <c r="A46" s="43"/>
      <c r="B46" s="5" t="s">
        <v>8</v>
      </c>
      <c r="C46" s="4">
        <f>C44+C45</f>
        <v>21515.530000000002</v>
      </c>
      <c r="D46" s="4">
        <f>D44+D45</f>
        <v>0.8197141833920053</v>
      </c>
      <c r="E46" s="45"/>
    </row>
    <row r="47" spans="1:5">
      <c r="A47" s="42" t="s">
        <v>54</v>
      </c>
      <c r="B47" s="5" t="s">
        <v>55</v>
      </c>
      <c r="C47" s="2">
        <f>C48+C59+C102</f>
        <v>317740.02427986881</v>
      </c>
      <c r="D47" s="2">
        <f>D48+D59+D102</f>
        <v>12.105488664863408</v>
      </c>
    </row>
    <row r="48" spans="1:5" ht="47.25" customHeight="1">
      <c r="A48" s="43" t="s">
        <v>35</v>
      </c>
      <c r="B48" s="28" t="s">
        <v>46</v>
      </c>
      <c r="C48" s="4">
        <f>C58</f>
        <v>24223.062874395495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14576.690448933707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4402.1605155779789</v>
      </c>
      <c r="D50" s="2">
        <f>C50/D11/12</f>
        <v>0.16771668707150286</v>
      </c>
    </row>
    <row r="51" spans="1:7">
      <c r="A51" s="43"/>
      <c r="B51" s="24" t="s">
        <v>6</v>
      </c>
      <c r="C51" s="13">
        <f>50000/56146.82*D11</f>
        <v>1947.8396105068821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20926.690575018569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1046.3345287509285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21973.025103769498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1318.3815062261699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23291.406609995669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931.6562643998268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24223.062874395495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161318.82152704112</v>
      </c>
      <c r="D59" s="23">
        <f>D60+D71+D82+D93+D101</f>
        <v>6.1460408390497072</v>
      </c>
      <c r="G59" s="17"/>
    </row>
    <row r="60" spans="1:7">
      <c r="A60" s="43" t="s">
        <v>38</v>
      </c>
      <c r="B60" s="24" t="s">
        <v>40</v>
      </c>
      <c r="C60" s="2">
        <f>C70</f>
        <v>34228.476644050206</v>
      </c>
      <c r="D60" s="2">
        <f>D70</f>
        <v>1.30406119584458</v>
      </c>
    </row>
    <row r="61" spans="1:7">
      <c r="A61" s="43"/>
      <c r="B61" s="24" t="s">
        <v>13</v>
      </c>
      <c r="C61" s="2">
        <f>(402940.32+0.5*298665.6)/56146.82*D11</f>
        <v>21514.789179084408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6497.4663320834907</v>
      </c>
      <c r="D62" s="2">
        <f>C62/D11/12</f>
        <v>0.24754515963682355</v>
      </c>
    </row>
    <row r="63" spans="1:7">
      <c r="A63" s="43"/>
      <c r="B63" s="24" t="s">
        <v>6</v>
      </c>
      <c r="C63" s="13">
        <f>40000/56146.82*D11</f>
        <v>1558.2716884055055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29570.527199573404</v>
      </c>
      <c r="D64" s="2">
        <f>D61+D62+D63</f>
        <v>1.1265992776319891</v>
      </c>
    </row>
    <row r="65" spans="1:4">
      <c r="A65" s="43"/>
      <c r="B65" s="3" t="s">
        <v>9</v>
      </c>
      <c r="C65" s="2">
        <f>C64*5/100</f>
        <v>1478.5263599786701</v>
      </c>
      <c r="D65" s="2">
        <f>D64*5/100</f>
        <v>5.6329963881599457E-2</v>
      </c>
    </row>
    <row r="66" spans="1:4">
      <c r="A66" s="43"/>
      <c r="B66" s="24" t="s">
        <v>8</v>
      </c>
      <c r="C66" s="2">
        <f>C64+C65</f>
        <v>31049.053559552074</v>
      </c>
      <c r="D66" s="2">
        <f>D64+D65</f>
        <v>1.1829292415135886</v>
      </c>
    </row>
    <row r="67" spans="1:4">
      <c r="A67" s="43"/>
      <c r="B67" s="24" t="s">
        <v>10</v>
      </c>
      <c r="C67" s="2">
        <f>C66*6/100</f>
        <v>1862.9432135731245</v>
      </c>
      <c r="D67" s="2">
        <f>D66*6/100</f>
        <v>7.0975754490815321E-2</v>
      </c>
    </row>
    <row r="68" spans="1:4">
      <c r="A68" s="43"/>
      <c r="B68" s="24" t="s">
        <v>8</v>
      </c>
      <c r="C68" s="2">
        <f>C66+C67</f>
        <v>32911.996773125196</v>
      </c>
      <c r="D68" s="2">
        <f>D66+D67</f>
        <v>1.253904996004404</v>
      </c>
    </row>
    <row r="69" spans="1:4">
      <c r="A69" s="43"/>
      <c r="B69" s="5" t="s">
        <v>11</v>
      </c>
      <c r="C69" s="2">
        <f>C68*4/100</f>
        <v>1316.4798709250078</v>
      </c>
      <c r="D69" s="2">
        <f>D68*4/100</f>
        <v>5.0156199840176156E-2</v>
      </c>
    </row>
    <row r="70" spans="1:4">
      <c r="A70" s="43"/>
      <c r="B70" s="5" t="s">
        <v>8</v>
      </c>
      <c r="C70" s="2">
        <f>C68+C69</f>
        <v>34228.476644050206</v>
      </c>
      <c r="D70" s="2">
        <f>D68+D69</f>
        <v>1.30406119584458</v>
      </c>
    </row>
    <row r="71" spans="1:4">
      <c r="A71" s="43" t="s">
        <v>39</v>
      </c>
      <c r="B71" s="24" t="s">
        <v>41</v>
      </c>
      <c r="C71" s="2">
        <f>C81</f>
        <v>14454.955653585204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8992.8809683611653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2715.8500524450719</v>
      </c>
      <c r="D73" s="2">
        <f>C73/D11/12</f>
        <v>0.10347041453104557</v>
      </c>
    </row>
    <row r="74" spans="1:4">
      <c r="A74" s="43"/>
      <c r="B74" s="24" t="s">
        <v>6</v>
      </c>
      <c r="C74" s="13">
        <f>20000/56146.82*D11</f>
        <v>779.13584420275276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12487.866865008989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624.39334325044945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13112.260208259439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786.73561249556633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13898.995820755004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555.95983283020018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14454.955653585204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87632.9572294057</v>
      </c>
      <c r="D82" s="2">
        <f>D92</f>
        <v>3.3387036235467509</v>
      </c>
    </row>
    <row r="83" spans="1:4">
      <c r="A83" s="43"/>
      <c r="B83" s="24" t="s">
        <v>13</v>
      </c>
      <c r="C83" s="2">
        <f>(1395324.48+0.3*298665.6)/56146.82*D11</f>
        <v>57847.881948933173</v>
      </c>
      <c r="D83" s="2">
        <f>C83/D11/12</f>
        <v>2.2039303383521989</v>
      </c>
    </row>
    <row r="84" spans="1:4" ht="28.5">
      <c r="A84" s="43"/>
      <c r="B84" s="27" t="s">
        <v>5</v>
      </c>
      <c r="C84" s="2">
        <f>C83*0.302</f>
        <v>17470.060348577819</v>
      </c>
      <c r="D84" s="2">
        <f>D83*0.302</f>
        <v>0.66558696218236402</v>
      </c>
    </row>
    <row r="85" spans="1:4">
      <c r="A85" s="43"/>
      <c r="B85" s="24" t="s">
        <v>6</v>
      </c>
      <c r="C85" s="13">
        <f>10000/56146.82*D11</f>
        <v>389.56792210137638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75707.510219612363</v>
      </c>
      <c r="D86" s="2">
        <f>D83+D84+D85</f>
        <v>2.8843593402677716</v>
      </c>
    </row>
    <row r="87" spans="1:4">
      <c r="A87" s="43"/>
      <c r="B87" s="3" t="s">
        <v>9</v>
      </c>
      <c r="C87" s="2">
        <f>C86*5/100</f>
        <v>3785.3755109806184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79492.885730592985</v>
      </c>
      <c r="D88" s="2">
        <f>D86+D87</f>
        <v>3.0285773072811604</v>
      </c>
    </row>
    <row r="89" spans="1:4">
      <c r="A89" s="43"/>
      <c r="B89" s="24" t="s">
        <v>10</v>
      </c>
      <c r="C89" s="2">
        <f>C88*6/100</f>
        <v>4769.5731438355788</v>
      </c>
      <c r="D89" s="2">
        <f>D88*6/100</f>
        <v>0.18171463843686961</v>
      </c>
    </row>
    <row r="90" spans="1:4">
      <c r="A90" s="43"/>
      <c r="B90" s="24" t="s">
        <v>8</v>
      </c>
      <c r="C90" s="2">
        <f>C88+C89</f>
        <v>84262.458874428557</v>
      </c>
      <c r="D90" s="2">
        <f>D88+D89</f>
        <v>3.2102919457180299</v>
      </c>
    </row>
    <row r="91" spans="1:4">
      <c r="A91" s="43"/>
      <c r="B91" s="5" t="s">
        <v>11</v>
      </c>
      <c r="C91" s="2">
        <f>C90*4/100</f>
        <v>3370.4983549771423</v>
      </c>
      <c r="D91" s="2">
        <f>D90*4/100</f>
        <v>0.1284116778287212</v>
      </c>
    </row>
    <row r="92" spans="1:4">
      <c r="A92" s="43"/>
      <c r="B92" s="5" t="s">
        <v>8</v>
      </c>
      <c r="C92" s="2">
        <f>C90+C91</f>
        <v>87632.9572294057</v>
      </c>
      <c r="D92" s="2">
        <f>D90+D91</f>
        <v>3.3387036235467509</v>
      </c>
    </row>
    <row r="93" spans="1:4" ht="31.5">
      <c r="A93" s="43" t="s">
        <v>57</v>
      </c>
      <c r="B93" s="28" t="s">
        <v>44</v>
      </c>
      <c r="C93" s="23">
        <f>C100</f>
        <v>25002.432000000001</v>
      </c>
      <c r="D93" s="23">
        <f>D100</f>
        <v>0.9525606912632012</v>
      </c>
    </row>
    <row r="94" spans="1:4">
      <c r="A94" s="43"/>
      <c r="B94" s="3" t="s">
        <v>16</v>
      </c>
      <c r="C94" s="13">
        <f>40*180*3</f>
        <v>21600</v>
      </c>
      <c r="D94" s="2">
        <f>C94/D11/12</f>
        <v>0.82293238238924704</v>
      </c>
    </row>
    <row r="95" spans="1:4">
      <c r="A95" s="43"/>
      <c r="B95" s="3" t="s">
        <v>9</v>
      </c>
      <c r="C95" s="2">
        <f>C94*5/100</f>
        <v>1080</v>
      </c>
      <c r="D95" s="2">
        <f>D94*5/100</f>
        <v>4.1146619119462352E-2</v>
      </c>
    </row>
    <row r="96" spans="1:4">
      <c r="A96" s="43"/>
      <c r="B96" s="24" t="s">
        <v>8</v>
      </c>
      <c r="C96" s="2">
        <f>C94+C95</f>
        <v>22680</v>
      </c>
      <c r="D96" s="2">
        <f>D94+D95</f>
        <v>0.86407900150870942</v>
      </c>
    </row>
    <row r="97" spans="1:4">
      <c r="A97" s="43"/>
      <c r="B97" s="24" t="s">
        <v>10</v>
      </c>
      <c r="C97" s="2">
        <f>C96*6/100</f>
        <v>1360.8</v>
      </c>
      <c r="D97" s="2">
        <f>D96*6/100</f>
        <v>5.1844740090522562E-2</v>
      </c>
    </row>
    <row r="98" spans="1:4">
      <c r="A98" s="43"/>
      <c r="B98" s="24" t="s">
        <v>8</v>
      </c>
      <c r="C98" s="2">
        <f>C96+C97</f>
        <v>24040.799999999999</v>
      </c>
      <c r="D98" s="2">
        <f>D96+D97</f>
        <v>0.91592374159923196</v>
      </c>
    </row>
    <row r="99" spans="1:4">
      <c r="A99" s="43"/>
      <c r="B99" s="5" t="s">
        <v>11</v>
      </c>
      <c r="C99" s="2">
        <f>C98*4/100</f>
        <v>961.63199999999995</v>
      </c>
      <c r="D99" s="2">
        <f>D98*4/100</f>
        <v>3.6636949663969277E-2</v>
      </c>
    </row>
    <row r="100" spans="1:4">
      <c r="A100" s="43"/>
      <c r="B100" s="5" t="s">
        <v>8</v>
      </c>
      <c r="C100" s="2">
        <f>C98+C99</f>
        <v>25002.432000000001</v>
      </c>
      <c r="D100" s="2">
        <f>D98+D99</f>
        <v>0.9525606912632012</v>
      </c>
    </row>
    <row r="101" spans="1:4" ht="31.5">
      <c r="A101" s="43" t="s">
        <v>58</v>
      </c>
      <c r="B101" s="28" t="s">
        <v>88</v>
      </c>
      <c r="C101" s="13">
        <v>0</v>
      </c>
      <c r="D101" s="13">
        <v>0</v>
      </c>
    </row>
    <row r="102" spans="1:4" ht="29.25">
      <c r="A102" s="37" t="s">
        <v>42</v>
      </c>
      <c r="B102" s="22" t="s">
        <v>59</v>
      </c>
      <c r="C102" s="23">
        <f>C114+C126</f>
        <v>132198.13987843221</v>
      </c>
      <c r="D102" s="23">
        <f>D114+D126</f>
        <v>5.0365801017400518</v>
      </c>
    </row>
    <row r="103" spans="1:4" ht="28.5">
      <c r="A103" s="43" t="s">
        <v>61</v>
      </c>
      <c r="B103" s="24" t="s">
        <v>60</v>
      </c>
      <c r="C103" s="25">
        <f>C114</f>
        <v>43301.129368573449</v>
      </c>
      <c r="D103" s="2">
        <f>D114</f>
        <v>1.64971766441783</v>
      </c>
    </row>
    <row r="104" spans="1:4">
      <c r="A104" s="43"/>
      <c r="B104" s="26" t="s">
        <v>4</v>
      </c>
      <c r="C104" s="33">
        <f>277.1*91.16</f>
        <v>25260.436000000002</v>
      </c>
      <c r="D104" s="2">
        <f>C104/D11/12</f>
        <v>0.96239031378106954</v>
      </c>
    </row>
    <row r="105" spans="1:4" ht="28.5">
      <c r="A105" s="43"/>
      <c r="B105" s="27" t="s">
        <v>5</v>
      </c>
      <c r="C105" s="2">
        <f>C104*0.302</f>
        <v>7628.651672</v>
      </c>
      <c r="D105" s="2">
        <f>C105/D11/12</f>
        <v>0.29064187476188297</v>
      </c>
    </row>
    <row r="106" spans="1:4">
      <c r="A106" s="43"/>
      <c r="B106" s="24" t="s">
        <v>6</v>
      </c>
      <c r="C106" s="33">
        <f>277.1*8.19</f>
        <v>2269.4490000000001</v>
      </c>
      <c r="D106" s="2">
        <f>C106/D11/12</f>
        <v>8.6463105198189547E-2</v>
      </c>
    </row>
    <row r="107" spans="1:4">
      <c r="A107" s="43"/>
      <c r="B107" s="3" t="s">
        <v>7</v>
      </c>
      <c r="C107" s="13">
        <f>450*5</f>
        <v>2250</v>
      </c>
      <c r="D107" s="2">
        <f>C107/D11/12</f>
        <v>8.572212316554656E-2</v>
      </c>
    </row>
    <row r="108" spans="1:4">
      <c r="A108" s="43"/>
      <c r="B108" s="24" t="s">
        <v>8</v>
      </c>
      <c r="C108" s="2">
        <f>C104+C105+C106+C107</f>
        <v>37408.536672000002</v>
      </c>
      <c r="D108" s="2">
        <f>D104+D105+D106+D107</f>
        <v>1.4252174169066885</v>
      </c>
    </row>
    <row r="109" spans="1:4">
      <c r="A109" s="43"/>
      <c r="B109" s="3" t="s">
        <v>9</v>
      </c>
      <c r="C109" s="2">
        <f>C108*5/100</f>
        <v>1870.4268336000002</v>
      </c>
      <c r="D109" s="2">
        <f>C109/D11/12</f>
        <v>7.1260870845334431E-2</v>
      </c>
    </row>
    <row r="110" spans="1:4">
      <c r="A110" s="43"/>
      <c r="B110" s="24" t="s">
        <v>8</v>
      </c>
      <c r="C110" s="2">
        <f>C108+C109</f>
        <v>39278.963505600004</v>
      </c>
      <c r="D110" s="2">
        <f>D108+D109</f>
        <v>1.4964782877520229</v>
      </c>
    </row>
    <row r="111" spans="1:4">
      <c r="A111" s="43"/>
      <c r="B111" s="24" t="s">
        <v>10</v>
      </c>
      <c r="C111" s="2">
        <f>C110*6/100</f>
        <v>2356.7378103360006</v>
      </c>
      <c r="D111" s="2">
        <f>C111/D11/12</f>
        <v>8.9788697265121398E-2</v>
      </c>
    </row>
    <row r="112" spans="1:4">
      <c r="A112" s="43"/>
      <c r="B112" s="24" t="s">
        <v>8</v>
      </c>
      <c r="C112" s="2">
        <f>C110+C111</f>
        <v>41635.701315936007</v>
      </c>
      <c r="D112" s="2">
        <f>D110+D111</f>
        <v>1.5862669850171442</v>
      </c>
    </row>
    <row r="113" spans="1:6">
      <c r="A113" s="43"/>
      <c r="B113" s="5" t="s">
        <v>11</v>
      </c>
      <c r="C113" s="2">
        <f>C112*4/100</f>
        <v>1665.4280526374403</v>
      </c>
      <c r="D113" s="2">
        <f>C113/D11/12</f>
        <v>6.3450679400685786E-2</v>
      </c>
    </row>
    <row r="114" spans="1:6">
      <c r="A114" s="43"/>
      <c r="B114" s="5" t="s">
        <v>8</v>
      </c>
      <c r="C114" s="2">
        <f>C112+C113</f>
        <v>43301.129368573449</v>
      </c>
      <c r="D114" s="2">
        <f>D112+D113</f>
        <v>1.64971766441783</v>
      </c>
    </row>
    <row r="115" spans="1:6" ht="30.75" customHeight="1">
      <c r="A115" s="43" t="s">
        <v>62</v>
      </c>
      <c r="B115" s="24" t="s">
        <v>63</v>
      </c>
      <c r="C115" s="2">
        <f>C126</f>
        <v>88897.010509858752</v>
      </c>
      <c r="D115" s="2">
        <f>D126</f>
        <v>3.3868624373222223</v>
      </c>
    </row>
    <row r="116" spans="1:6">
      <c r="A116" s="43"/>
      <c r="B116" s="26" t="s">
        <v>4</v>
      </c>
      <c r="C116" s="13">
        <f>1836*29.52</f>
        <v>54198.720000000001</v>
      </c>
      <c r="D116" s="2">
        <f>C116/D11/12</f>
        <v>2.0649019338910986</v>
      </c>
    </row>
    <row r="117" spans="1:6" ht="28.5">
      <c r="A117" s="43"/>
      <c r="B117" s="27" t="s">
        <v>5</v>
      </c>
      <c r="C117" s="2">
        <f>C116*0.302</f>
        <v>16368.013440000001</v>
      </c>
      <c r="D117" s="2">
        <f>C117/D11/12</f>
        <v>0.62360038403511175</v>
      </c>
    </row>
    <row r="118" spans="1:6">
      <c r="A118" s="43"/>
      <c r="B118" s="24" t="s">
        <v>6</v>
      </c>
      <c r="C118" s="13">
        <f>1836*1.91</f>
        <v>3506.7599999999998</v>
      </c>
      <c r="D118" s="2">
        <f>C118/D11/12</f>
        <v>0.13360307228089424</v>
      </c>
    </row>
    <row r="119" spans="1:6">
      <c r="A119" s="43"/>
      <c r="B119" s="3" t="s">
        <v>12</v>
      </c>
      <c r="C119" s="13">
        <f>(64000+12000)/51186.1*1836</f>
        <v>2726.0525806810833</v>
      </c>
      <c r="D119" s="2">
        <f>C119/D11/12</f>
        <v>0.1038591178119555</v>
      </c>
    </row>
    <row r="120" spans="1:6">
      <c r="A120" s="43"/>
      <c r="B120" s="24" t="s">
        <v>8</v>
      </c>
      <c r="C120" s="2">
        <f>C116+C117+C118+C119</f>
        <v>76799.546020681068</v>
      </c>
      <c r="D120" s="2">
        <f>D116+D117+D118+D119</f>
        <v>2.9259645080190602</v>
      </c>
    </row>
    <row r="121" spans="1:6">
      <c r="A121" s="43"/>
      <c r="B121" s="3" t="s">
        <v>9</v>
      </c>
      <c r="C121" s="2">
        <f>C120*5/100</f>
        <v>3839.9773010340532</v>
      </c>
      <c r="D121" s="2">
        <f>C121/D11/12</f>
        <v>0.14629822540095297</v>
      </c>
    </row>
    <row r="122" spans="1:6">
      <c r="A122" s="43"/>
      <c r="B122" s="24" t="s">
        <v>8</v>
      </c>
      <c r="C122" s="2">
        <f>C120+C121</f>
        <v>80639.523321715125</v>
      </c>
      <c r="D122" s="2">
        <f>D120+D121</f>
        <v>3.072262733420013</v>
      </c>
    </row>
    <row r="123" spans="1:6">
      <c r="A123" s="43"/>
      <c r="B123" s="24" t="s">
        <v>10</v>
      </c>
      <c r="C123" s="2">
        <f>C122*6/100</f>
        <v>4838.3713993029078</v>
      </c>
      <c r="D123" s="2">
        <f>C123/D11/12</f>
        <v>0.18433576400520077</v>
      </c>
    </row>
    <row r="124" spans="1:6">
      <c r="A124" s="43"/>
      <c r="B124" s="24" t="s">
        <v>8</v>
      </c>
      <c r="C124" s="2">
        <f>C122+C123</f>
        <v>85477.894721018034</v>
      </c>
      <c r="D124" s="2">
        <f>D122+D123</f>
        <v>3.2565984974252138</v>
      </c>
    </row>
    <row r="125" spans="1:6">
      <c r="A125" s="43"/>
      <c r="B125" s="5" t="s">
        <v>11</v>
      </c>
      <c r="C125" s="2">
        <f>C124*4/100</f>
        <v>3419.1157888407215</v>
      </c>
      <c r="D125" s="2">
        <f>C125/D11/12</f>
        <v>0.13026393989700855</v>
      </c>
    </row>
    <row r="126" spans="1:6">
      <c r="A126" s="43"/>
      <c r="B126" s="5" t="s">
        <v>8</v>
      </c>
      <c r="C126" s="2">
        <f>C124+C125</f>
        <v>88897.010509858752</v>
      </c>
      <c r="D126" s="2">
        <f>D124+D125</f>
        <v>3.3868624373222223</v>
      </c>
    </row>
    <row r="127" spans="1:6" ht="44.25" customHeight="1">
      <c r="A127" s="42" t="s">
        <v>64</v>
      </c>
      <c r="B127" s="5" t="s">
        <v>65</v>
      </c>
      <c r="C127" s="4">
        <f>C131+C139+C135</f>
        <v>1179.646976</v>
      </c>
      <c r="D127" s="4">
        <f>D131+D139+D135</f>
        <v>4.4943041497127356E-2</v>
      </c>
      <c r="F127" s="17"/>
    </row>
    <row r="128" spans="1:6">
      <c r="A128" s="43" t="s">
        <v>35</v>
      </c>
      <c r="B128" s="5" t="s">
        <v>124</v>
      </c>
      <c r="C128" s="46"/>
      <c r="D128" s="4"/>
    </row>
    <row r="129" spans="1:5">
      <c r="A129" s="43"/>
      <c r="B129" s="24" t="s">
        <v>10</v>
      </c>
      <c r="C129" s="2">
        <f>2428.73*6/100</f>
        <v>145.72380000000001</v>
      </c>
      <c r="D129" s="2">
        <f>C129/12/D11</f>
        <v>5.5518904585562107E-3</v>
      </c>
    </row>
    <row r="130" spans="1:5">
      <c r="A130" s="43"/>
      <c r="B130" s="5" t="s">
        <v>11</v>
      </c>
      <c r="C130" s="2">
        <f>(2428.73+C129)*4/100</f>
        <v>102.97815200000001</v>
      </c>
      <c r="D130" s="2">
        <f>C130/12/D11</f>
        <v>3.9233359240463889E-3</v>
      </c>
    </row>
    <row r="131" spans="1:5">
      <c r="A131" s="43"/>
      <c r="B131" s="5" t="s">
        <v>8</v>
      </c>
      <c r="C131" s="2">
        <f>C129+C130</f>
        <v>248.70195200000001</v>
      </c>
      <c r="D131" s="2">
        <f>D129+D130</f>
        <v>9.4752263826025987E-3</v>
      </c>
    </row>
    <row r="132" spans="1:5">
      <c r="A132" s="55" t="s">
        <v>36</v>
      </c>
      <c r="B132" s="5" t="s">
        <v>125</v>
      </c>
      <c r="C132" s="46"/>
      <c r="D132" s="4"/>
    </row>
    <row r="133" spans="1:5">
      <c r="A133" s="55"/>
      <c r="B133" s="24" t="s">
        <v>10</v>
      </c>
      <c r="C133" s="2">
        <f>2150.74*6/100</f>
        <v>129.0444</v>
      </c>
      <c r="D133" s="2">
        <f>C133/12/D11</f>
        <v>4.9164266447218026E-3</v>
      </c>
    </row>
    <row r="134" spans="1:5">
      <c r="A134" s="55"/>
      <c r="B134" s="5" t="s">
        <v>11</v>
      </c>
      <c r="C134" s="2">
        <f>(2150.74+C133)*4/100</f>
        <v>91.191375999999977</v>
      </c>
      <c r="D134" s="2">
        <f>C134/12/D11</f>
        <v>3.4742748289367394E-3</v>
      </c>
    </row>
    <row r="135" spans="1:5">
      <c r="A135" s="55"/>
      <c r="B135" s="5" t="s">
        <v>8</v>
      </c>
      <c r="C135" s="2">
        <f t="shared" ref="C135:D135" si="0">C133+C134</f>
        <v>220.23577599999999</v>
      </c>
      <c r="D135" s="2">
        <f t="shared" si="0"/>
        <v>8.3907014736585416E-3</v>
      </c>
    </row>
    <row r="136" spans="1:5">
      <c r="A136" s="43" t="s">
        <v>42</v>
      </c>
      <c r="B136" s="5" t="s">
        <v>126</v>
      </c>
      <c r="C136" s="46"/>
      <c r="D136" s="4"/>
    </row>
    <row r="137" spans="1:5">
      <c r="A137" s="43"/>
      <c r="B137" s="24" t="s">
        <v>10</v>
      </c>
      <c r="C137" s="2">
        <f>6940.52*6/100</f>
        <v>416.43120000000005</v>
      </c>
      <c r="D137" s="2">
        <f>C137/12/D11</f>
        <v>1.5865496273945047E-2</v>
      </c>
    </row>
    <row r="138" spans="1:5">
      <c r="A138" s="43"/>
      <c r="B138" s="5" t="s">
        <v>11</v>
      </c>
      <c r="C138" s="2">
        <f>(6940.52+C137)*4/100</f>
        <v>294.27804800000001</v>
      </c>
      <c r="D138" s="2">
        <f>C138/12/D11</f>
        <v>1.1211617366921165E-2</v>
      </c>
    </row>
    <row r="139" spans="1:5">
      <c r="A139" s="43"/>
      <c r="B139" s="5" t="s">
        <v>8</v>
      </c>
      <c r="C139" s="2">
        <f t="shared" ref="C139:D139" si="1">C137+C138</f>
        <v>710.70924800000012</v>
      </c>
      <c r="D139" s="2">
        <f t="shared" si="1"/>
        <v>2.7077113640866214E-2</v>
      </c>
    </row>
    <row r="140" spans="1:5">
      <c r="A140" s="43"/>
      <c r="B140" s="6" t="s">
        <v>30</v>
      </c>
      <c r="C140" s="2">
        <f>C12+C47+C127</f>
        <v>537613.72736612346</v>
      </c>
      <c r="D140" s="2">
        <f>D12+D47+D127</f>
        <v>20.482395623452181</v>
      </c>
      <c r="E140" s="17"/>
    </row>
    <row r="141" spans="1:5" ht="28.5">
      <c r="A141" s="42" t="s">
        <v>66</v>
      </c>
      <c r="B141" s="24" t="s">
        <v>67</v>
      </c>
      <c r="C141" s="23">
        <v>14363</v>
      </c>
      <c r="D141" s="57">
        <v>0.55000000000000004</v>
      </c>
    </row>
    <row r="142" spans="1:5" hidden="1">
      <c r="A142" s="43"/>
      <c r="B142" s="6" t="s">
        <v>30</v>
      </c>
      <c r="C142" s="7"/>
      <c r="D142" s="7"/>
    </row>
    <row r="143" spans="1:5" hidden="1">
      <c r="A143" s="42" t="s">
        <v>72</v>
      </c>
      <c r="B143" s="3" t="s">
        <v>73</v>
      </c>
      <c r="C143" s="2">
        <v>0</v>
      </c>
      <c r="D143" s="2">
        <v>0</v>
      </c>
    </row>
    <row r="144" spans="1:5">
      <c r="A144" s="43"/>
      <c r="B144" s="41" t="s">
        <v>71</v>
      </c>
      <c r="C144" s="2">
        <f>C140+C141</f>
        <v>551976.72736612346</v>
      </c>
      <c r="D144" s="2">
        <f>D140+D141</f>
        <v>21.032395623452182</v>
      </c>
    </row>
    <row r="145" spans="1:4" ht="28.5">
      <c r="A145" s="42" t="s">
        <v>72</v>
      </c>
      <c r="B145" s="3" t="s">
        <v>96</v>
      </c>
      <c r="C145" s="23">
        <v>64307</v>
      </c>
      <c r="D145" s="23">
        <v>2.4500000000000002</v>
      </c>
    </row>
    <row r="146" spans="1:4">
      <c r="A146" s="42" t="s">
        <v>95</v>
      </c>
      <c r="B146" s="3" t="s">
        <v>73</v>
      </c>
      <c r="C146" s="2">
        <f>D146*12*D11</f>
        <v>78742.8</v>
      </c>
      <c r="D146" s="2">
        <v>3</v>
      </c>
    </row>
    <row r="147" spans="1:4">
      <c r="B147" s="8"/>
      <c r="C147" s="15"/>
      <c r="D147" s="8"/>
    </row>
    <row r="148" spans="1:4">
      <c r="B148" s="9" t="s">
        <v>75</v>
      </c>
      <c r="C148" s="16"/>
      <c r="D148" s="10"/>
    </row>
    <row r="149" spans="1:4" ht="15.75">
      <c r="B149" s="30" t="s">
        <v>47</v>
      </c>
      <c r="C149" s="31"/>
      <c r="D149" s="30"/>
    </row>
    <row r="150" spans="1:4" ht="15.75">
      <c r="B150" s="30"/>
      <c r="C150" s="31"/>
      <c r="D150" s="30"/>
    </row>
    <row r="151" spans="1:4">
      <c r="B151" s="72" t="s">
        <v>31</v>
      </c>
      <c r="C151" s="72"/>
      <c r="D151" s="72"/>
    </row>
    <row r="152" spans="1:4" ht="15.75">
      <c r="B152" s="30"/>
      <c r="C152" s="31"/>
      <c r="D152" s="30"/>
    </row>
  </sheetData>
  <mergeCells count="11">
    <mergeCell ref="A9:A10"/>
    <mergeCell ref="B9:B10"/>
    <mergeCell ref="C9:C10"/>
    <mergeCell ref="D9:D10"/>
    <mergeCell ref="B151:D151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5"/>
  <sheetViews>
    <sheetView zoomScale="120" zoomScaleNormal="120" workbookViewId="0">
      <selection activeCell="D146" sqref="D146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83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2917.13</v>
      </c>
    </row>
    <row r="12" spans="1:6">
      <c r="A12" s="42" t="s">
        <v>51</v>
      </c>
      <c r="B12" s="24" t="s">
        <v>52</v>
      </c>
      <c r="C12" s="2">
        <f>C13+C24+C43</f>
        <v>284427.24878800672</v>
      </c>
      <c r="D12" s="2">
        <f>D13+D24+D43</f>
        <v>8.125202076127529</v>
      </c>
    </row>
    <row r="13" spans="1:6">
      <c r="A13" s="43" t="s">
        <v>35</v>
      </c>
      <c r="B13" s="24" t="s">
        <v>70</v>
      </c>
      <c r="C13" s="2">
        <f>C23</f>
        <v>191383.21566062493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124897.34811164017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C14*0.303</f>
        <v>37843.896477826973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2597.7695620161571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165339.01415148328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8266.950707574164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173605.96485905745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10416.357891543446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184022.3227506009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7360.8929100240357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191383.21566062493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71587.293127381825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831.28625984517021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17768.743804190515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16521.814414422759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2337.9926058145411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2921.0100286178276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4165.2829392314652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4873.4156983423109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363.68773868226202</v>
      </c>
      <c r="D32" s="2">
        <f>C32/D11/12</f>
        <v>1.0389427813246296E-2</v>
      </c>
    </row>
    <row r="33" spans="1:5">
      <c r="A33" s="43"/>
      <c r="B33" s="3" t="s">
        <v>25</v>
      </c>
      <c r="C33" s="2">
        <f>113064/56146.82*D11</f>
        <v>5874.2843551958958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4395.4260989313379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1792.4609977911484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61845.40494106523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3092.2702470532613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64937.67518811849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3896.2605112871097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68833.9356994056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2753.3574279762238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71587.293127381825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21456.739999999998</v>
      </c>
      <c r="D43" s="2">
        <f>D46</f>
        <v>0.61295234242788854</v>
      </c>
    </row>
    <row r="44" spans="1:5">
      <c r="A44" s="43"/>
      <c r="B44" s="5" t="s">
        <v>28</v>
      </c>
      <c r="C44" s="46">
        <v>19375.96</v>
      </c>
      <c r="D44" s="4">
        <f>C44/12/D11</f>
        <v>0.55351092797829826</v>
      </c>
    </row>
    <row r="45" spans="1:5" ht="19.5" customHeight="1">
      <c r="A45" s="43"/>
      <c r="B45" s="5" t="s">
        <v>29</v>
      </c>
      <c r="C45" s="46">
        <v>2080.7800000000002</v>
      </c>
      <c r="D45" s="4">
        <f>C45/12/D11</f>
        <v>5.9441414449590294E-2</v>
      </c>
    </row>
    <row r="46" spans="1:5">
      <c r="A46" s="43"/>
      <c r="B46" s="5" t="s">
        <v>8</v>
      </c>
      <c r="C46" s="4">
        <f>C44+C45</f>
        <v>21456.739999999998</v>
      </c>
      <c r="D46" s="4">
        <f>D44+D45</f>
        <v>0.61295234242788854</v>
      </c>
      <c r="E46" s="45"/>
    </row>
    <row r="47" spans="1:5">
      <c r="A47" s="42" t="s">
        <v>54</v>
      </c>
      <c r="B47" s="5" t="s">
        <v>55</v>
      </c>
      <c r="C47" s="2">
        <f>C48+C59+C109</f>
        <v>410880.19805952162</v>
      </c>
      <c r="D47" s="2">
        <f>D48+D59+D109</f>
        <v>11.73756963349598</v>
      </c>
    </row>
    <row r="48" spans="1:5" ht="47.25" customHeight="1">
      <c r="A48" s="43" t="s">
        <v>35</v>
      </c>
      <c r="B48" s="28" t="s">
        <v>46</v>
      </c>
      <c r="C48" s="4">
        <f>C58</f>
        <v>32305.501487123543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19440.452159876553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5871.0165522827192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2597.7695620161571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27909.23827417543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1395.4619137087714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29304.700187884202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1758.2820112730521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31062.982199157253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1242.5192879662902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32305.501487123543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212955.33172214945</v>
      </c>
      <c r="D59" s="23">
        <f>D60+D71+D82+D93+D101</f>
        <v>6.0834716462798877</v>
      </c>
      <c r="G59" s="17"/>
    </row>
    <row r="60" spans="1:7">
      <c r="A60" s="43" t="s">
        <v>38</v>
      </c>
      <c r="B60" s="24" t="s">
        <v>40</v>
      </c>
      <c r="C60" s="2">
        <f>C70</f>
        <v>45649.392434809204</v>
      </c>
      <c r="D60" s="2">
        <f>D70</f>
        <v>1.3040611958445805</v>
      </c>
    </row>
    <row r="61" spans="1:7">
      <c r="A61" s="43"/>
      <c r="B61" s="24" t="s">
        <v>13</v>
      </c>
      <c r="C61" s="2">
        <f>(402940.32+0.5*298665.6)/56146.82*D11</f>
        <v>28693.566021113929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8665.4569383764065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2078.2156496129255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39437.23860910326</v>
      </c>
      <c r="D64" s="2">
        <f>D61+D62+D63</f>
        <v>1.1265992776319893</v>
      </c>
    </row>
    <row r="65" spans="1:4">
      <c r="A65" s="43"/>
      <c r="B65" s="3" t="s">
        <v>9</v>
      </c>
      <c r="C65" s="2">
        <f>C64*5/100</f>
        <v>1971.861930455163</v>
      </c>
      <c r="D65" s="2">
        <f>D64*5/100</f>
        <v>5.6329963881599464E-2</v>
      </c>
    </row>
    <row r="66" spans="1:4">
      <c r="A66" s="43"/>
      <c r="B66" s="24" t="s">
        <v>8</v>
      </c>
      <c r="C66" s="2">
        <f>C64+C65</f>
        <v>41409.100539558422</v>
      </c>
      <c r="D66" s="2">
        <f>D64+D65</f>
        <v>1.1829292415135888</v>
      </c>
    </row>
    <row r="67" spans="1:4">
      <c r="A67" s="43"/>
      <c r="B67" s="24" t="s">
        <v>10</v>
      </c>
      <c r="C67" s="2">
        <f>C66*6/100</f>
        <v>2484.5460323735051</v>
      </c>
      <c r="D67" s="2">
        <f>D66*6/100</f>
        <v>7.0975754490815335E-2</v>
      </c>
    </row>
    <row r="68" spans="1:4">
      <c r="A68" s="43"/>
      <c r="B68" s="24" t="s">
        <v>8</v>
      </c>
      <c r="C68" s="2">
        <f>C66+C67</f>
        <v>43893.646571931924</v>
      </c>
      <c r="D68" s="2">
        <f>D66+D67</f>
        <v>1.2539049960044042</v>
      </c>
    </row>
    <row r="69" spans="1:4">
      <c r="A69" s="43"/>
      <c r="B69" s="5" t="s">
        <v>11</v>
      </c>
      <c r="C69" s="2">
        <f>C68*4/100</f>
        <v>1755.745862877277</v>
      </c>
      <c r="D69" s="2">
        <f>D68*4/100</f>
        <v>5.015619984017617E-2</v>
      </c>
    </row>
    <row r="70" spans="1:4">
      <c r="A70" s="43"/>
      <c r="B70" s="5" t="s">
        <v>8</v>
      </c>
      <c r="C70" s="2">
        <f>C68+C69</f>
        <v>45649.392434809204</v>
      </c>
      <c r="D70" s="2">
        <f>D68+D69</f>
        <v>1.3040611958445805</v>
      </c>
    </row>
    <row r="71" spans="1:4">
      <c r="A71" s="43" t="s">
        <v>39</v>
      </c>
      <c r="B71" s="24" t="s">
        <v>41</v>
      </c>
      <c r="C71" s="2">
        <f>C81</f>
        <v>19278.098471057012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11993.509285070819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3622.0398040913869</v>
      </c>
      <c r="D73" s="2">
        <f>C73/D11/12</f>
        <v>0.10347041453104555</v>
      </c>
    </row>
    <row r="74" spans="1:4">
      <c r="A74" s="43"/>
      <c r="B74" s="24" t="s">
        <v>6</v>
      </c>
      <c r="C74" s="13">
        <f>20000/56146.82*D11</f>
        <v>1039.1078248064628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16654.656913968669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832.73284569843349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17487.389759667101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1049.2433855800261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18536.633145247128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741.46532580988514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19278.098471057012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116873.19001628323</v>
      </c>
      <c r="D82" s="2">
        <f>D92</f>
        <v>3.3387036235467504</v>
      </c>
    </row>
    <row r="83" spans="1:4">
      <c r="A83" s="43"/>
      <c r="B83" s="24" t="s">
        <v>13</v>
      </c>
      <c r="C83" s="2">
        <f>(1395324.48+0.3*298665.6)/56146.82*D11</f>
        <v>77149.81569500819</v>
      </c>
      <c r="D83" s="2">
        <f>C83/D11/12</f>
        <v>2.2039303383521984</v>
      </c>
    </row>
    <row r="84" spans="1:4" ht="28.5">
      <c r="A84" s="43"/>
      <c r="B84" s="27" t="s">
        <v>5</v>
      </c>
      <c r="C84" s="2">
        <f>C83*0.302</f>
        <v>23299.244339892473</v>
      </c>
      <c r="D84" s="2">
        <f>D83*0.302</f>
        <v>0.66558696218236391</v>
      </c>
    </row>
    <row r="85" spans="1:4">
      <c r="A85" s="43"/>
      <c r="B85" s="24" t="s">
        <v>6</v>
      </c>
      <c r="C85" s="13">
        <f>10000/56146.82*D11</f>
        <v>519.55391240323138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100968.61394730391</v>
      </c>
      <c r="D86" s="2">
        <f>D83+D84+D85</f>
        <v>2.8843593402677712</v>
      </c>
    </row>
    <row r="87" spans="1:4">
      <c r="A87" s="43"/>
      <c r="B87" s="3" t="s">
        <v>9</v>
      </c>
      <c r="C87" s="2">
        <f>C86*5/100</f>
        <v>5048.4306973651956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106017.04464466911</v>
      </c>
      <c r="D88" s="2">
        <f>D86+D87</f>
        <v>3.0285773072811599</v>
      </c>
    </row>
    <row r="89" spans="1:4">
      <c r="A89" s="43"/>
      <c r="B89" s="24" t="s">
        <v>10</v>
      </c>
      <c r="C89" s="2">
        <f>C88*6/100</f>
        <v>6361.0226786801468</v>
      </c>
      <c r="D89" s="2">
        <f>D88*6/100</f>
        <v>0.18171463843686958</v>
      </c>
    </row>
    <row r="90" spans="1:4">
      <c r="A90" s="43"/>
      <c r="B90" s="24" t="s">
        <v>8</v>
      </c>
      <c r="C90" s="2">
        <f>C88+C89</f>
        <v>112378.06732334926</v>
      </c>
      <c r="D90" s="2">
        <f>D88+D89</f>
        <v>3.2102919457180294</v>
      </c>
    </row>
    <row r="91" spans="1:4">
      <c r="A91" s="43"/>
      <c r="B91" s="5" t="s">
        <v>11</v>
      </c>
      <c r="C91" s="2">
        <f>C90*4/100</f>
        <v>4495.12269293397</v>
      </c>
      <c r="D91" s="2">
        <f>D90*4/100</f>
        <v>0.12841167782872118</v>
      </c>
    </row>
    <row r="92" spans="1:4">
      <c r="A92" s="43"/>
      <c r="B92" s="5" t="s">
        <v>8</v>
      </c>
      <c r="C92" s="2">
        <f>C90+C91</f>
        <v>116873.19001628323</v>
      </c>
      <c r="D92" s="2">
        <f>D90+D91</f>
        <v>3.3387036235467504</v>
      </c>
    </row>
    <row r="93" spans="1:4" ht="31.5">
      <c r="A93" s="43" t="s">
        <v>57</v>
      </c>
      <c r="B93" s="28" t="s">
        <v>44</v>
      </c>
      <c r="C93" s="23">
        <f>C100</f>
        <v>30002.918399999999</v>
      </c>
      <c r="D93" s="23">
        <f>D100</f>
        <v>0.85709008511790696</v>
      </c>
    </row>
    <row r="94" spans="1:4">
      <c r="A94" s="43"/>
      <c r="B94" s="3" t="s">
        <v>16</v>
      </c>
      <c r="C94" s="13">
        <f>48*180*3</f>
        <v>25920</v>
      </c>
      <c r="D94" s="2">
        <f>C94/D11/12</f>
        <v>0.74045380219599399</v>
      </c>
    </row>
    <row r="95" spans="1:4">
      <c r="A95" s="43"/>
      <c r="B95" s="3" t="s">
        <v>9</v>
      </c>
      <c r="C95" s="2">
        <f>C94*5/100</f>
        <v>1296</v>
      </c>
      <c r="D95" s="2">
        <f>D94*5/100</f>
        <v>3.7022690109799701E-2</v>
      </c>
    </row>
    <row r="96" spans="1:4">
      <c r="A96" s="43"/>
      <c r="B96" s="24" t="s">
        <v>8</v>
      </c>
      <c r="C96" s="2">
        <f>C94+C95</f>
        <v>27216</v>
      </c>
      <c r="D96" s="2">
        <f>D94+D95</f>
        <v>0.77747649230579374</v>
      </c>
    </row>
    <row r="97" spans="1:4">
      <c r="A97" s="43"/>
      <c r="B97" s="24" t="s">
        <v>10</v>
      </c>
      <c r="C97" s="2">
        <f>C96*6/100</f>
        <v>1632.96</v>
      </c>
      <c r="D97" s="2">
        <f>D96*6/100</f>
        <v>4.6648589538347628E-2</v>
      </c>
    </row>
    <row r="98" spans="1:4">
      <c r="A98" s="43"/>
      <c r="B98" s="24" t="s">
        <v>8</v>
      </c>
      <c r="C98" s="2">
        <f>C96+C97</f>
        <v>28848.959999999999</v>
      </c>
      <c r="D98" s="2">
        <f>D96+D97</f>
        <v>0.82412508184414135</v>
      </c>
    </row>
    <row r="99" spans="1:4">
      <c r="A99" s="43"/>
      <c r="B99" s="5" t="s">
        <v>11</v>
      </c>
      <c r="C99" s="2">
        <f>C98*4/100</f>
        <v>1153.9584</v>
      </c>
      <c r="D99" s="2">
        <f>D98*4/100</f>
        <v>3.2965003273765656E-2</v>
      </c>
    </row>
    <row r="100" spans="1:4">
      <c r="A100" s="43"/>
      <c r="B100" s="5" t="s">
        <v>8</v>
      </c>
      <c r="C100" s="2">
        <f>C98+C99</f>
        <v>30002.918399999999</v>
      </c>
      <c r="D100" s="2">
        <f>D98+D99</f>
        <v>0.85709008511790696</v>
      </c>
    </row>
    <row r="101" spans="1:4" ht="31.5">
      <c r="A101" s="43" t="s">
        <v>58</v>
      </c>
      <c r="B101" s="28" t="s">
        <v>88</v>
      </c>
      <c r="C101" s="13">
        <f>C108</f>
        <v>1151.7323999999999</v>
      </c>
      <c r="D101" s="13">
        <f>D108</f>
        <v>3.2901413375475218E-2</v>
      </c>
    </row>
    <row r="102" spans="1:4">
      <c r="A102" s="47"/>
      <c r="B102" s="48" t="s">
        <v>89</v>
      </c>
      <c r="C102" s="2">
        <v>995</v>
      </c>
      <c r="D102" s="49">
        <f>C102/12/D11</f>
        <v>2.8424056064236654E-2</v>
      </c>
    </row>
    <row r="103" spans="1:4">
      <c r="A103" s="47"/>
      <c r="B103" s="50" t="s">
        <v>9</v>
      </c>
      <c r="C103" s="51">
        <f>C102*5/100</f>
        <v>49.75</v>
      </c>
      <c r="D103" s="51">
        <f>D102*5/100</f>
        <v>1.4212028032118326E-3</v>
      </c>
    </row>
    <row r="104" spans="1:4">
      <c r="A104" s="47"/>
      <c r="B104" s="52" t="s">
        <v>8</v>
      </c>
      <c r="C104" s="51">
        <f>C102+C103</f>
        <v>1044.75</v>
      </c>
      <c r="D104" s="49">
        <f>D102+D103</f>
        <v>2.9845258867448488E-2</v>
      </c>
    </row>
    <row r="105" spans="1:4">
      <c r="A105" s="47"/>
      <c r="B105" s="53" t="s">
        <v>10</v>
      </c>
      <c r="C105" s="51">
        <f>C104*6/100</f>
        <v>62.685000000000002</v>
      </c>
      <c r="D105" s="51">
        <f>D104*6/100</f>
        <v>1.7907155320469091E-3</v>
      </c>
    </row>
    <row r="106" spans="1:4">
      <c r="A106" s="47"/>
      <c r="B106" s="52" t="s">
        <v>8</v>
      </c>
      <c r="C106" s="51">
        <f>C104+C105</f>
        <v>1107.4349999999999</v>
      </c>
      <c r="D106" s="49">
        <f>D104+D105</f>
        <v>3.1635974399495399E-2</v>
      </c>
    </row>
    <row r="107" spans="1:4">
      <c r="A107" s="47"/>
      <c r="B107" s="54" t="s">
        <v>11</v>
      </c>
      <c r="C107" s="51">
        <f>C106*4/100</f>
        <v>44.297399999999996</v>
      </c>
      <c r="D107" s="51">
        <f>D106*4/100</f>
        <v>1.2654389759798159E-3</v>
      </c>
    </row>
    <row r="108" spans="1:4">
      <c r="A108" s="47"/>
      <c r="B108" s="5" t="s">
        <v>8</v>
      </c>
      <c r="C108" s="2">
        <f>C106+C107</f>
        <v>1151.7323999999999</v>
      </c>
      <c r="D108" s="2">
        <f>D106+D107</f>
        <v>3.2901413375475218E-2</v>
      </c>
    </row>
    <row r="109" spans="1:4" ht="29.25">
      <c r="A109" s="37" t="s">
        <v>42</v>
      </c>
      <c r="B109" s="22" t="s">
        <v>59</v>
      </c>
      <c r="C109" s="23">
        <f>C121+C133</f>
        <v>165619.36485024862</v>
      </c>
      <c r="D109" s="23">
        <f>D121+D133</f>
        <v>4.7312302631424439</v>
      </c>
    </row>
    <row r="110" spans="1:4" ht="28.5">
      <c r="A110" s="43" t="s">
        <v>61</v>
      </c>
      <c r="B110" s="24" t="s">
        <v>60</v>
      </c>
      <c r="C110" s="25">
        <f>C121</f>
        <v>44906.327321855992</v>
      </c>
      <c r="D110" s="2">
        <f>D121</f>
        <v>1.2828341361159767</v>
      </c>
    </row>
    <row r="111" spans="1:4">
      <c r="A111" s="43"/>
      <c r="B111" s="26" t="s">
        <v>4</v>
      </c>
      <c r="C111" s="33">
        <f>290*91.16</f>
        <v>26436.399999999998</v>
      </c>
      <c r="D111" s="2">
        <f>C111/D11/12</f>
        <v>0.75520574445888011</v>
      </c>
    </row>
    <row r="112" spans="1:4" ht="28.5">
      <c r="A112" s="43"/>
      <c r="B112" s="27" t="s">
        <v>5</v>
      </c>
      <c r="C112" s="2">
        <f>C111*0.302</f>
        <v>7983.7927999999993</v>
      </c>
      <c r="D112" s="2">
        <f>C112/D11/12</f>
        <v>0.22807213482658181</v>
      </c>
    </row>
    <row r="113" spans="1:4">
      <c r="A113" s="43"/>
      <c r="B113" s="24" t="s">
        <v>6</v>
      </c>
      <c r="C113" s="33">
        <f>290*8.19</f>
        <v>2375.1</v>
      </c>
      <c r="D113" s="2">
        <f>C113/D11/12</f>
        <v>6.7849221666500967E-2</v>
      </c>
    </row>
    <row r="114" spans="1:4">
      <c r="A114" s="43"/>
      <c r="B114" s="3" t="s">
        <v>7</v>
      </c>
      <c r="C114" s="13">
        <f>400*5</f>
        <v>2000</v>
      </c>
      <c r="D114" s="2">
        <f>C114/D11/12</f>
        <v>5.7133781033641508E-2</v>
      </c>
    </row>
    <row r="115" spans="1:4">
      <c r="A115" s="43"/>
      <c r="B115" s="24" t="s">
        <v>8</v>
      </c>
      <c r="C115" s="2">
        <f>C111+C112+C113+C114</f>
        <v>38795.292799999996</v>
      </c>
      <c r="D115" s="2">
        <f>D111+D112+D113+D114</f>
        <v>1.1082608819856044</v>
      </c>
    </row>
    <row r="116" spans="1:4">
      <c r="A116" s="43"/>
      <c r="B116" s="3" t="s">
        <v>9</v>
      </c>
      <c r="C116" s="2">
        <f>C115*5/100</f>
        <v>1939.7646399999999</v>
      </c>
      <c r="D116" s="2">
        <f>C116/D11/12</f>
        <v>5.5413044099280225E-2</v>
      </c>
    </row>
    <row r="117" spans="1:4">
      <c r="A117" s="43"/>
      <c r="B117" s="24" t="s">
        <v>8</v>
      </c>
      <c r="C117" s="2">
        <f>C115+C116</f>
        <v>40735.057439999997</v>
      </c>
      <c r="D117" s="2">
        <f>D115+D116</f>
        <v>1.1636739260848845</v>
      </c>
    </row>
    <row r="118" spans="1:4">
      <c r="A118" s="43"/>
      <c r="B118" s="24" t="s">
        <v>10</v>
      </c>
      <c r="C118" s="2">
        <f>C117*6/100</f>
        <v>2444.1034463999995</v>
      </c>
      <c r="D118" s="2">
        <f>C118/D11/12</f>
        <v>6.982043556509307E-2</v>
      </c>
    </row>
    <row r="119" spans="1:4">
      <c r="A119" s="43"/>
      <c r="B119" s="24" t="s">
        <v>8</v>
      </c>
      <c r="C119" s="2">
        <f>C117+C118</f>
        <v>43179.160886399994</v>
      </c>
      <c r="D119" s="2">
        <f>D117+D118</f>
        <v>1.2334943616499776</v>
      </c>
    </row>
    <row r="120" spans="1:4">
      <c r="A120" s="43"/>
      <c r="B120" s="5" t="s">
        <v>11</v>
      </c>
      <c r="C120" s="2">
        <f>C119*4/100</f>
        <v>1727.1664354559998</v>
      </c>
      <c r="D120" s="2">
        <f>C120/D11/12</f>
        <v>4.933977446599911E-2</v>
      </c>
    </row>
    <row r="121" spans="1:4">
      <c r="A121" s="43"/>
      <c r="B121" s="5" t="s">
        <v>8</v>
      </c>
      <c r="C121" s="2">
        <f>C119+C120</f>
        <v>44906.327321855992</v>
      </c>
      <c r="D121" s="2">
        <f>D119+D120</f>
        <v>1.2828341361159767</v>
      </c>
    </row>
    <row r="122" spans="1:4" ht="30.75" customHeight="1">
      <c r="A122" s="43" t="s">
        <v>62</v>
      </c>
      <c r="B122" s="24" t="s">
        <v>63</v>
      </c>
      <c r="C122" s="2">
        <f>C133</f>
        <v>120713.03752839263</v>
      </c>
      <c r="D122" s="2">
        <f>D133</f>
        <v>3.4483961270264674</v>
      </c>
    </row>
    <row r="123" spans="1:4">
      <c r="A123" s="43"/>
      <c r="B123" s="26" t="s">
        <v>4</v>
      </c>
      <c r="C123" s="13">
        <f>2493.1*29.52</f>
        <v>73596.311999999991</v>
      </c>
      <c r="D123" s="2">
        <f>C123/D11/12</f>
        <v>2.1024177873457814</v>
      </c>
    </row>
    <row r="124" spans="1:4" ht="28.5">
      <c r="A124" s="43"/>
      <c r="B124" s="27" t="s">
        <v>5</v>
      </c>
      <c r="C124" s="2">
        <f>C123*0.302</f>
        <v>22226.086223999995</v>
      </c>
      <c r="D124" s="2">
        <f>C124/D11/12</f>
        <v>0.63493017177842592</v>
      </c>
    </row>
    <row r="125" spans="1:4">
      <c r="A125" s="43"/>
      <c r="B125" s="24" t="s">
        <v>6</v>
      </c>
      <c r="C125" s="13">
        <f>2493.1*1.91</f>
        <v>4761.8209999999999</v>
      </c>
      <c r="D125" s="2">
        <f>C125/D11/12</f>
        <v>0.13603041916769792</v>
      </c>
    </row>
    <row r="126" spans="1:4">
      <c r="A126" s="43"/>
      <c r="B126" s="3" t="s">
        <v>12</v>
      </c>
      <c r="C126" s="13">
        <f>(64000+12000)/51186.1*2493.1</f>
        <v>3701.7002662832292</v>
      </c>
      <c r="D126" s="2">
        <f>C126/D11/12</f>
        <v>0.10574606623299924</v>
      </c>
    </row>
    <row r="127" spans="1:4">
      <c r="A127" s="43"/>
      <c r="B127" s="24" t="s">
        <v>8</v>
      </c>
      <c r="C127" s="2">
        <f>C123+C124+C125+C126</f>
        <v>104285.91949028321</v>
      </c>
      <c r="D127" s="2">
        <f>D123+D124+D125+D126</f>
        <v>2.9791244445249045</v>
      </c>
    </row>
    <row r="128" spans="1:4">
      <c r="A128" s="43"/>
      <c r="B128" s="3" t="s">
        <v>9</v>
      </c>
      <c r="C128" s="2">
        <f>C127*5/100</f>
        <v>5214.2959745141607</v>
      </c>
      <c r="D128" s="2">
        <f>C128/D11/12</f>
        <v>0.14895622222624522</v>
      </c>
    </row>
    <row r="129" spans="1:6">
      <c r="A129" s="43"/>
      <c r="B129" s="24" t="s">
        <v>8</v>
      </c>
      <c r="C129" s="2">
        <f>C127+C128</f>
        <v>109500.21546479737</v>
      </c>
      <c r="D129" s="2">
        <f>D127+D128</f>
        <v>3.1280806667511496</v>
      </c>
    </row>
    <row r="130" spans="1:6">
      <c r="A130" s="43"/>
      <c r="B130" s="24" t="s">
        <v>10</v>
      </c>
      <c r="C130" s="2">
        <f>C129*6/100</f>
        <v>6570.0129278878421</v>
      </c>
      <c r="D130" s="2">
        <f>C130/D11/12</f>
        <v>0.18768484000506894</v>
      </c>
    </row>
    <row r="131" spans="1:6">
      <c r="A131" s="43"/>
      <c r="B131" s="24" t="s">
        <v>8</v>
      </c>
      <c r="C131" s="2">
        <f>C129+C130</f>
        <v>116070.22839268521</v>
      </c>
      <c r="D131" s="2">
        <f>D129+D130</f>
        <v>3.3157655067562186</v>
      </c>
    </row>
    <row r="132" spans="1:6">
      <c r="A132" s="43"/>
      <c r="B132" s="5" t="s">
        <v>11</v>
      </c>
      <c r="C132" s="2">
        <f>C131*4/100</f>
        <v>4642.8091357074081</v>
      </c>
      <c r="D132" s="2">
        <f>C132/D11/12</f>
        <v>0.13263062027024872</v>
      </c>
    </row>
    <row r="133" spans="1:6">
      <c r="A133" s="43"/>
      <c r="B133" s="5" t="s">
        <v>8</v>
      </c>
      <c r="C133" s="2">
        <f>C131+C132</f>
        <v>120713.03752839263</v>
      </c>
      <c r="D133" s="2">
        <f>D131+D132</f>
        <v>3.4483961270264674</v>
      </c>
    </row>
    <row r="134" spans="1:6" ht="44.25" customHeight="1">
      <c r="A134" s="42" t="s">
        <v>64</v>
      </c>
      <c r="B134" s="5" t="s">
        <v>65</v>
      </c>
      <c r="C134" s="4">
        <f>C138+C146+C142</f>
        <v>1234.5630719999999</v>
      </c>
      <c r="D134" s="4">
        <f>D138+D146+D142</f>
        <v>3.5267628113933899E-2</v>
      </c>
      <c r="F134" s="17"/>
    </row>
    <row r="135" spans="1:6">
      <c r="A135" s="43" t="s">
        <v>35</v>
      </c>
      <c r="B135" s="5" t="s">
        <v>127</v>
      </c>
      <c r="C135" s="46"/>
      <c r="D135" s="4"/>
    </row>
    <row r="136" spans="1:6">
      <c r="A136" s="43"/>
      <c r="B136" s="24" t="s">
        <v>10</v>
      </c>
      <c r="C136" s="2">
        <f>2541.79*6/100</f>
        <v>152.50739999999999</v>
      </c>
      <c r="D136" s="2">
        <f>C136/12/D11</f>
        <v>4.3566621988049897E-3</v>
      </c>
    </row>
    <row r="137" spans="1:6">
      <c r="A137" s="43"/>
      <c r="B137" s="5" t="s">
        <v>11</v>
      </c>
      <c r="C137" s="2">
        <f>(2541.79+C136)*4/100</f>
        <v>107.771896</v>
      </c>
      <c r="D137" s="2">
        <f>C137/12/D11</f>
        <v>3.0787079538221926E-3</v>
      </c>
    </row>
    <row r="138" spans="1:6">
      <c r="A138" s="43"/>
      <c r="B138" s="5" t="s">
        <v>8</v>
      </c>
      <c r="C138" s="2">
        <f>C136+C137</f>
        <v>260.27929599999999</v>
      </c>
      <c r="D138" s="2">
        <f>D136+D137</f>
        <v>7.4353701526271819E-3</v>
      </c>
    </row>
    <row r="139" spans="1:6">
      <c r="A139" s="55" t="s">
        <v>36</v>
      </c>
      <c r="B139" s="5" t="s">
        <v>128</v>
      </c>
      <c r="C139" s="46"/>
      <c r="D139" s="4"/>
    </row>
    <row r="140" spans="1:6">
      <c r="A140" s="55"/>
      <c r="B140" s="24" t="s">
        <v>10</v>
      </c>
      <c r="C140" s="2">
        <f>2250.86*6/100</f>
        <v>135.05160000000001</v>
      </c>
      <c r="D140" s="2">
        <f>C140/12/D11</f>
        <v>3.85800427132147E-3</v>
      </c>
    </row>
    <row r="141" spans="1:6">
      <c r="A141" s="55"/>
      <c r="B141" s="5" t="s">
        <v>11</v>
      </c>
      <c r="C141" s="2">
        <f>(2250.86+C140)*4/100</f>
        <v>95.436464000000015</v>
      </c>
      <c r="D141" s="2">
        <f>C141/12/D11</f>
        <v>2.7263230184005061E-3</v>
      </c>
    </row>
    <row r="142" spans="1:6">
      <c r="A142" s="55"/>
      <c r="B142" s="5" t="s">
        <v>8</v>
      </c>
      <c r="C142" s="2">
        <f t="shared" ref="C142:D142" si="0">C140+C141</f>
        <v>230.48806400000001</v>
      </c>
      <c r="D142" s="2">
        <f t="shared" si="0"/>
        <v>6.5843272897219765E-3</v>
      </c>
    </row>
    <row r="143" spans="1:6">
      <c r="A143" s="43" t="s">
        <v>42</v>
      </c>
      <c r="B143" s="5" t="s">
        <v>129</v>
      </c>
      <c r="C143" s="46"/>
      <c r="D143" s="4"/>
    </row>
    <row r="144" spans="1:6">
      <c r="A144" s="43"/>
      <c r="B144" s="24" t="s">
        <v>10</v>
      </c>
      <c r="C144" s="2">
        <f>7263.63*6/100</f>
        <v>435.81779999999998</v>
      </c>
      <c r="D144" s="2">
        <f>C144/12/D11</f>
        <v>1.2449959377881683E-2</v>
      </c>
    </row>
    <row r="145" spans="1:5">
      <c r="A145" s="43"/>
      <c r="B145" s="5" t="s">
        <v>11</v>
      </c>
      <c r="C145" s="2">
        <f>(7263.63+C144)*4/100</f>
        <v>307.977912</v>
      </c>
      <c r="D145" s="2">
        <f>C145/12/D11</f>
        <v>8.7979712937030583E-3</v>
      </c>
    </row>
    <row r="146" spans="1:5">
      <c r="A146" s="43"/>
      <c r="B146" s="5" t="s">
        <v>8</v>
      </c>
      <c r="C146" s="2">
        <f t="shared" ref="C146:D146" si="1">C144+C145</f>
        <v>743.79571199999998</v>
      </c>
      <c r="D146" s="2">
        <f t="shared" si="1"/>
        <v>2.1247930671584741E-2</v>
      </c>
    </row>
    <row r="147" spans="1:5">
      <c r="A147" s="43"/>
      <c r="B147" s="6" t="s">
        <v>30</v>
      </c>
      <c r="C147" s="2">
        <f>C12+C47+C134</f>
        <v>696542.00991952838</v>
      </c>
      <c r="D147" s="2">
        <f>D12+D47+D134</f>
        <v>19.898039337737444</v>
      </c>
      <c r="E147" s="17"/>
    </row>
    <row r="148" spans="1:5">
      <c r="A148" s="43"/>
      <c r="B148" s="41" t="s">
        <v>71</v>
      </c>
      <c r="C148" s="2">
        <f>C147</f>
        <v>696542.00991952838</v>
      </c>
      <c r="D148" s="2">
        <f>D147</f>
        <v>19.898039337737444</v>
      </c>
    </row>
    <row r="149" spans="1:5" ht="28.5">
      <c r="A149" s="42" t="s">
        <v>66</v>
      </c>
      <c r="B149" s="24" t="s">
        <v>97</v>
      </c>
      <c r="C149" s="64">
        <f>D149*12*D11</f>
        <v>35005.56</v>
      </c>
      <c r="D149" s="57">
        <v>1</v>
      </c>
    </row>
    <row r="150" spans="1:5">
      <c r="B150" s="8"/>
      <c r="C150" s="15"/>
      <c r="D150" s="8"/>
    </row>
    <row r="151" spans="1:5">
      <c r="B151" s="9" t="s">
        <v>75</v>
      </c>
      <c r="C151" s="16"/>
      <c r="D151" s="10"/>
    </row>
    <row r="152" spans="1:5" ht="15.75">
      <c r="B152" s="30" t="s">
        <v>47</v>
      </c>
      <c r="C152" s="31"/>
      <c r="D152" s="30"/>
    </row>
    <row r="153" spans="1:5" ht="15.75">
      <c r="B153" s="30"/>
      <c r="C153" s="31"/>
      <c r="D153" s="30"/>
    </row>
    <row r="154" spans="1:5">
      <c r="B154" s="72" t="s">
        <v>31</v>
      </c>
      <c r="C154" s="72"/>
      <c r="D154" s="72"/>
    </row>
    <row r="155" spans="1:5" ht="15.75">
      <c r="B155" s="30"/>
      <c r="C155" s="31"/>
      <c r="D155" s="30"/>
    </row>
  </sheetData>
  <mergeCells count="11">
    <mergeCell ref="A9:A10"/>
    <mergeCell ref="B9:B10"/>
    <mergeCell ref="C9:C10"/>
    <mergeCell ref="D9:D10"/>
    <mergeCell ref="B154:D154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0"/>
  <sheetViews>
    <sheetView workbookViewId="0">
      <selection activeCell="I129" sqref="I129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82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3713.45</v>
      </c>
    </row>
    <row r="12" spans="1:6">
      <c r="A12" s="42" t="s">
        <v>51</v>
      </c>
      <c r="B12" s="24" t="s">
        <v>52</v>
      </c>
      <c r="C12" s="2">
        <f>C13+C24+C43</f>
        <v>362293.5152832832</v>
      </c>
      <c r="D12" s="2">
        <f>D13+D24+D43</f>
        <v>8.1302094477122164</v>
      </c>
    </row>
    <row r="13" spans="1:6">
      <c r="A13" s="43" t="s">
        <v>35</v>
      </c>
      <c r="B13" s="24" t="s">
        <v>70</v>
      </c>
      <c r="C13" s="2">
        <f>C23</f>
        <v>243627.12741459851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158991.90551849597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C14*0.303</f>
        <v>48174.54737210428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3306.9103468370959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210473.36323743736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10523.668161871869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220997.03139930923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13259.821883958555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234256.85328326779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9370.2741313307124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243627.12741459851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91129.237868684664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1058.2113109878705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22619.266772365736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21031.949805883931</v>
      </c>
      <c r="D27" s="2">
        <f>C27/D11/12</f>
        <v>0.47197686351604601</v>
      </c>
    </row>
    <row r="28" spans="1:4">
      <c r="A28" s="43"/>
      <c r="B28" s="3" t="s">
        <v>20</v>
      </c>
      <c r="C28" s="2">
        <f>45000/56146.82*D11</f>
        <v>2976.219312153386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3718.389201294036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5302.3245212551665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6203.7638106663917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462.96744855719345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7477.8502290957877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5595.2923068483669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2281.7681393175963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78728.002858425476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3936.400142921274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82664.403001346756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4959.8641800808055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87624.267181427567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3504.9706872571028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91129.237868684664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27537.15</v>
      </c>
      <c r="D43" s="2">
        <f>D46</f>
        <v>0.61795971401257588</v>
      </c>
    </row>
    <row r="44" spans="1:5">
      <c r="A44" s="43"/>
      <c r="B44" s="5" t="s">
        <v>28</v>
      </c>
      <c r="C44" s="46">
        <v>24718.25</v>
      </c>
      <c r="D44" s="4">
        <f>C44/12/D11</f>
        <v>0.55470092950401018</v>
      </c>
    </row>
    <row r="45" spans="1:5" ht="19.5" customHeight="1">
      <c r="A45" s="43"/>
      <c r="B45" s="5" t="s">
        <v>29</v>
      </c>
      <c r="C45" s="46">
        <v>2818.9</v>
      </c>
      <c r="D45" s="4">
        <f>C45/12/D11</f>
        <v>6.3258784508565716E-2</v>
      </c>
    </row>
    <row r="46" spans="1:5">
      <c r="A46" s="43"/>
      <c r="B46" s="5" t="s">
        <v>8</v>
      </c>
      <c r="C46" s="4">
        <f>C44+C45</f>
        <v>27537.15</v>
      </c>
      <c r="D46" s="4">
        <f>D44+D45</f>
        <v>0.61795971401257588</v>
      </c>
      <c r="E46" s="45"/>
    </row>
    <row r="47" spans="1:5">
      <c r="A47" s="42" t="s">
        <v>54</v>
      </c>
      <c r="B47" s="5" t="s">
        <v>55</v>
      </c>
      <c r="C47" s="2">
        <f>C48+C59+C102</f>
        <v>450808.55406540737</v>
      </c>
      <c r="D47" s="2">
        <f>D48+D59+D102</f>
        <v>10.116570710646601</v>
      </c>
    </row>
    <row r="48" spans="1:5" ht="47.25" customHeight="1">
      <c r="A48" s="43" t="s">
        <v>35</v>
      </c>
      <c r="B48" s="28" t="s">
        <v>46</v>
      </c>
      <c r="C48" s="4">
        <f>C58</f>
        <v>41124.27779953547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24747.319136649232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7473.6903792680678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3306.9103468370959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35527.919862754396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1776.3959931377199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37304.315855892113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2238.2589513535268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39542.574807245641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1581.7029922898257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41124.27779953547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278308.30625757365</v>
      </c>
      <c r="D59" s="23">
        <f>D60+D71+D82+D93+D101</f>
        <v>6.245501852670106</v>
      </c>
      <c r="G59" s="17"/>
    </row>
    <row r="60" spans="1:7">
      <c r="A60" s="43" t="s">
        <v>38</v>
      </c>
      <c r="B60" s="24" t="s">
        <v>40</v>
      </c>
      <c r="C60" s="2">
        <f>C70</f>
        <v>58110.792572508668</v>
      </c>
      <c r="D60" s="2">
        <f>D70</f>
        <v>1.3040611958445805</v>
      </c>
    </row>
    <row r="61" spans="1:7">
      <c r="A61" s="43"/>
      <c r="B61" s="24" t="s">
        <v>13</v>
      </c>
      <c r="C61" s="2">
        <f>(402940.32+0.5*298665.6)/56146.82*D11</f>
        <v>36526.353896160101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11030.95887664035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2645.5282774696766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50202.841050270123</v>
      </c>
      <c r="D64" s="2">
        <f>D61+D62+D63</f>
        <v>1.1265992776319893</v>
      </c>
    </row>
    <row r="65" spans="1:4">
      <c r="A65" s="43"/>
      <c r="B65" s="3" t="s">
        <v>9</v>
      </c>
      <c r="C65" s="2">
        <f>C64*5/100</f>
        <v>2510.1420525135063</v>
      </c>
      <c r="D65" s="2">
        <f>D64*5/100</f>
        <v>5.6329963881599464E-2</v>
      </c>
    </row>
    <row r="66" spans="1:4">
      <c r="A66" s="43"/>
      <c r="B66" s="24" t="s">
        <v>8</v>
      </c>
      <c r="C66" s="2">
        <f>C64+C65</f>
        <v>52712.983102783626</v>
      </c>
      <c r="D66" s="2">
        <f>D64+D65</f>
        <v>1.1829292415135888</v>
      </c>
    </row>
    <row r="67" spans="1:4">
      <c r="A67" s="43"/>
      <c r="B67" s="24" t="s">
        <v>10</v>
      </c>
      <c r="C67" s="2">
        <f>C66*6/100</f>
        <v>3162.7789861670176</v>
      </c>
      <c r="D67" s="2">
        <f>D66*6/100</f>
        <v>7.0975754490815335E-2</v>
      </c>
    </row>
    <row r="68" spans="1:4">
      <c r="A68" s="43"/>
      <c r="B68" s="24" t="s">
        <v>8</v>
      </c>
      <c r="C68" s="2">
        <f>C66+C67</f>
        <v>55875.762088950643</v>
      </c>
      <c r="D68" s="2">
        <f>D66+D67</f>
        <v>1.2539049960044042</v>
      </c>
    </row>
    <row r="69" spans="1:4">
      <c r="A69" s="43"/>
      <c r="B69" s="5" t="s">
        <v>11</v>
      </c>
      <c r="C69" s="2">
        <f>C68*4/100</f>
        <v>2235.0304835580259</v>
      </c>
      <c r="D69" s="2">
        <f>D68*4/100</f>
        <v>5.015619984017617E-2</v>
      </c>
    </row>
    <row r="70" spans="1:4">
      <c r="A70" s="43"/>
      <c r="B70" s="5" t="s">
        <v>8</v>
      </c>
      <c r="C70" s="2">
        <f>C68+C69</f>
        <v>58110.792572508668</v>
      </c>
      <c r="D70" s="2">
        <f>D68+D69</f>
        <v>1.3040611958445805</v>
      </c>
    </row>
    <row r="71" spans="1:4">
      <c r="A71" s="43" t="s">
        <v>39</v>
      </c>
      <c r="B71" s="24" t="s">
        <v>41</v>
      </c>
      <c r="C71" s="2">
        <f>C81</f>
        <v>24540.646034748766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15267.50506650243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4610.7865300837339</v>
      </c>
      <c r="D73" s="2">
        <f>C73/D11/12</f>
        <v>0.10347041453104557</v>
      </c>
    </row>
    <row r="74" spans="1:4">
      <c r="A74" s="43"/>
      <c r="B74" s="24" t="s">
        <v>6</v>
      </c>
      <c r="C74" s="13">
        <f>20000/56146.82*D11</f>
        <v>1322.7641387348383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21201.055735321002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1060.0527867660501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22261.108522087052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1335.6665113252232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23596.775033412276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943.87100133649108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24540.646034748766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148777.30765031619</v>
      </c>
      <c r="D82" s="2">
        <f>D92</f>
        <v>3.3387036235467509</v>
      </c>
    </row>
    <row r="83" spans="1:4">
      <c r="A83" s="43"/>
      <c r="B83" s="24" t="s">
        <v>13</v>
      </c>
      <c r="C83" s="2">
        <f>(1395324.48+0.3*298665.6)/56146.82*D11</f>
        <v>98210.22137944767</v>
      </c>
      <c r="D83" s="2">
        <f>C83/D11/12</f>
        <v>2.2039303383521989</v>
      </c>
    </row>
    <row r="84" spans="1:4" ht="28.5">
      <c r="A84" s="43"/>
      <c r="B84" s="27" t="s">
        <v>5</v>
      </c>
      <c r="C84" s="2">
        <f>C83*0.302</f>
        <v>29659.486856593194</v>
      </c>
      <c r="D84" s="2">
        <f>D83*0.302</f>
        <v>0.66558696218236402</v>
      </c>
    </row>
    <row r="85" spans="1:4">
      <c r="A85" s="43"/>
      <c r="B85" s="24" t="s">
        <v>6</v>
      </c>
      <c r="C85" s="13">
        <f>10000/56146.82*D11</f>
        <v>661.38206936741915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128531.09030540829</v>
      </c>
      <c r="D86" s="2">
        <f>D83+D84+D85</f>
        <v>2.8843593402677716</v>
      </c>
    </row>
    <row r="87" spans="1:4">
      <c r="A87" s="43"/>
      <c r="B87" s="3" t="s">
        <v>9</v>
      </c>
      <c r="C87" s="2">
        <f>C86*5/100</f>
        <v>6426.5545152704135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134957.64482067869</v>
      </c>
      <c r="D88" s="2">
        <f>D86+D87</f>
        <v>3.0285773072811604</v>
      </c>
    </row>
    <row r="89" spans="1:4">
      <c r="A89" s="43"/>
      <c r="B89" s="24" t="s">
        <v>10</v>
      </c>
      <c r="C89" s="2">
        <f>C88*6/100</f>
        <v>8097.4586892407215</v>
      </c>
      <c r="D89" s="2">
        <f>D88*6/100</f>
        <v>0.18171463843686961</v>
      </c>
    </row>
    <row r="90" spans="1:4">
      <c r="A90" s="43"/>
      <c r="B90" s="24" t="s">
        <v>8</v>
      </c>
      <c r="C90" s="2">
        <f>C88+C89</f>
        <v>143055.1035099194</v>
      </c>
      <c r="D90" s="2">
        <f>D88+D89</f>
        <v>3.2102919457180299</v>
      </c>
    </row>
    <row r="91" spans="1:4">
      <c r="A91" s="43"/>
      <c r="B91" s="5" t="s">
        <v>11</v>
      </c>
      <c r="C91" s="2">
        <f>C90*4/100</f>
        <v>5722.204140396776</v>
      </c>
      <c r="D91" s="2">
        <f>D90*4/100</f>
        <v>0.1284116778287212</v>
      </c>
    </row>
    <row r="92" spans="1:4">
      <c r="A92" s="43"/>
      <c r="B92" s="5" t="s">
        <v>8</v>
      </c>
      <c r="C92" s="2">
        <f>C90+C91</f>
        <v>148777.30765031619</v>
      </c>
      <c r="D92" s="2">
        <f>D90+D91</f>
        <v>3.3387036235467509</v>
      </c>
    </row>
    <row r="93" spans="1:4" ht="31.5">
      <c r="A93" s="43" t="s">
        <v>57</v>
      </c>
      <c r="B93" s="28" t="s">
        <v>44</v>
      </c>
      <c r="C93" s="23">
        <f>C100</f>
        <v>46879.56</v>
      </c>
      <c r="D93" s="23">
        <f>D100</f>
        <v>1.0520217048835989</v>
      </c>
    </row>
    <row r="94" spans="1:4">
      <c r="A94" s="43"/>
      <c r="B94" s="3" t="s">
        <v>16</v>
      </c>
      <c r="C94" s="13">
        <f>75*180*3</f>
        <v>40500</v>
      </c>
      <c r="D94" s="2">
        <f>C94/D11/12</f>
        <v>0.90885833928018422</v>
      </c>
    </row>
    <row r="95" spans="1:4">
      <c r="A95" s="43"/>
      <c r="B95" s="3" t="s">
        <v>9</v>
      </c>
      <c r="C95" s="2">
        <f>C94*5/100</f>
        <v>2025</v>
      </c>
      <c r="D95" s="2">
        <f>D94*5/100</f>
        <v>4.5442916964009213E-2</v>
      </c>
    </row>
    <row r="96" spans="1:4">
      <c r="A96" s="43"/>
      <c r="B96" s="24" t="s">
        <v>8</v>
      </c>
      <c r="C96" s="2">
        <f>C94+C95</f>
        <v>42525</v>
      </c>
      <c r="D96" s="2">
        <f>D94+D95</f>
        <v>0.95430125624419349</v>
      </c>
    </row>
    <row r="97" spans="1:4">
      <c r="A97" s="43"/>
      <c r="B97" s="24" t="s">
        <v>10</v>
      </c>
      <c r="C97" s="2">
        <f>C96*6/100</f>
        <v>2551.5</v>
      </c>
      <c r="D97" s="2">
        <f>D96*6/100</f>
        <v>5.7258075374651607E-2</v>
      </c>
    </row>
    <row r="98" spans="1:4">
      <c r="A98" s="43"/>
      <c r="B98" s="24" t="s">
        <v>8</v>
      </c>
      <c r="C98" s="2">
        <f>C96+C97</f>
        <v>45076.5</v>
      </c>
      <c r="D98" s="2">
        <f>D96+D97</f>
        <v>1.0115593316188451</v>
      </c>
    </row>
    <row r="99" spans="1:4">
      <c r="A99" s="43"/>
      <c r="B99" s="5" t="s">
        <v>11</v>
      </c>
      <c r="C99" s="2">
        <f>C98*4/100</f>
        <v>1803.06</v>
      </c>
      <c r="D99" s="2">
        <f>D98*4/100</f>
        <v>4.0462373264753805E-2</v>
      </c>
    </row>
    <row r="100" spans="1:4">
      <c r="A100" s="43"/>
      <c r="B100" s="5" t="s">
        <v>8</v>
      </c>
      <c r="C100" s="2">
        <f>C98+C99</f>
        <v>46879.56</v>
      </c>
      <c r="D100" s="2">
        <f>D98+D99</f>
        <v>1.0520217048835989</v>
      </c>
    </row>
    <row r="101" spans="1:4" ht="31.5">
      <c r="A101" s="43" t="s">
        <v>58</v>
      </c>
      <c r="B101" s="28" t="s">
        <v>88</v>
      </c>
      <c r="C101" s="13">
        <v>0</v>
      </c>
      <c r="D101" s="13">
        <v>0</v>
      </c>
    </row>
    <row r="102" spans="1:4" ht="29.25">
      <c r="A102" s="37" t="s">
        <v>42</v>
      </c>
      <c r="B102" s="22" t="s">
        <v>59</v>
      </c>
      <c r="C102" s="23">
        <f>C114+C126</f>
        <v>131375.97000829826</v>
      </c>
      <c r="D102" s="23">
        <f>D114+D126</f>
        <v>2.9482011339028458</v>
      </c>
    </row>
    <row r="103" spans="1:4" ht="28.5">
      <c r="A103" s="43" t="s">
        <v>61</v>
      </c>
      <c r="B103" s="24" t="s">
        <v>60</v>
      </c>
      <c r="C103" s="25">
        <f>C114</f>
        <v>59367.454741271053</v>
      </c>
      <c r="D103" s="2">
        <f>D114</f>
        <v>1.3322618845294594</v>
      </c>
    </row>
    <row r="104" spans="1:4">
      <c r="A104" s="43"/>
      <c r="B104" s="26" t="s">
        <v>4</v>
      </c>
      <c r="C104" s="33">
        <f>386.1*91.16</f>
        <v>35196.876000000004</v>
      </c>
      <c r="D104" s="2">
        <f>C104/D11/12</f>
        <v>0.78985121652371804</v>
      </c>
    </row>
    <row r="105" spans="1:4" ht="28.5">
      <c r="A105" s="43"/>
      <c r="B105" s="27" t="s">
        <v>5</v>
      </c>
      <c r="C105" s="2">
        <f>C104*0.302</f>
        <v>10629.456552000001</v>
      </c>
      <c r="D105" s="2">
        <f>C105/D11/12</f>
        <v>0.23853506739016284</v>
      </c>
    </row>
    <row r="106" spans="1:4">
      <c r="A106" s="43"/>
      <c r="B106" s="24" t="s">
        <v>6</v>
      </c>
      <c r="C106" s="33">
        <f>386.1*8.19</f>
        <v>3162.1590000000001</v>
      </c>
      <c r="D106" s="2">
        <f>C106/D11/12</f>
        <v>7.096184141431823E-2</v>
      </c>
    </row>
    <row r="107" spans="1:4">
      <c r="A107" s="43"/>
      <c r="B107" s="3" t="s">
        <v>7</v>
      </c>
      <c r="C107" s="13">
        <f>460*5</f>
        <v>2300</v>
      </c>
      <c r="D107" s="2">
        <f>C107/D11/12</f>
        <v>5.1614177292454905E-2</v>
      </c>
    </row>
    <row r="108" spans="1:4">
      <c r="A108" s="43"/>
      <c r="B108" s="24" t="s">
        <v>8</v>
      </c>
      <c r="C108" s="2">
        <f>C104+C105+C106+C107</f>
        <v>51288.491552000007</v>
      </c>
      <c r="D108" s="2">
        <f>D104+D105+D106+D107</f>
        <v>1.1509623026206541</v>
      </c>
    </row>
    <row r="109" spans="1:4">
      <c r="A109" s="43"/>
      <c r="B109" s="3" t="s">
        <v>9</v>
      </c>
      <c r="C109" s="2">
        <f>C108*5/100</f>
        <v>2564.4245776000002</v>
      </c>
      <c r="D109" s="2">
        <f>C109/D11/12</f>
        <v>5.7548115131032695E-2</v>
      </c>
    </row>
    <row r="110" spans="1:4">
      <c r="A110" s="43"/>
      <c r="B110" s="24" t="s">
        <v>8</v>
      </c>
      <c r="C110" s="2">
        <f>C108+C109</f>
        <v>53852.916129600009</v>
      </c>
      <c r="D110" s="2">
        <f>D108+D109</f>
        <v>1.2085104177516868</v>
      </c>
    </row>
    <row r="111" spans="1:4">
      <c r="A111" s="43"/>
      <c r="B111" s="24" t="s">
        <v>10</v>
      </c>
      <c r="C111" s="2">
        <f>C110*6/100</f>
        <v>3231.1749677760004</v>
      </c>
      <c r="D111" s="2">
        <f>C111/D11/12</f>
        <v>7.2510625065101197E-2</v>
      </c>
    </row>
    <row r="112" spans="1:4">
      <c r="A112" s="43"/>
      <c r="B112" s="24" t="s">
        <v>8</v>
      </c>
      <c r="C112" s="2">
        <f>C110+C111</f>
        <v>57084.091097376011</v>
      </c>
      <c r="D112" s="2">
        <f>D110+D111</f>
        <v>1.2810210428167879</v>
      </c>
    </row>
    <row r="113" spans="1:6">
      <c r="A113" s="43"/>
      <c r="B113" s="5" t="s">
        <v>11</v>
      </c>
      <c r="C113" s="2">
        <f>C112*4/100</f>
        <v>2283.3636438950402</v>
      </c>
      <c r="D113" s="2">
        <f>C113/D11/12</f>
        <v>5.1240841712671514E-2</v>
      </c>
    </row>
    <row r="114" spans="1:6">
      <c r="A114" s="43"/>
      <c r="B114" s="5" t="s">
        <v>8</v>
      </c>
      <c r="C114" s="2">
        <f>C112+C113</f>
        <v>59367.454741271053</v>
      </c>
      <c r="D114" s="2">
        <f>D112+D113</f>
        <v>1.3322618845294594</v>
      </c>
    </row>
    <row r="115" spans="1:6" ht="30.75" customHeight="1">
      <c r="A115" s="43" t="s">
        <v>62</v>
      </c>
      <c r="B115" s="24" t="s">
        <v>63</v>
      </c>
      <c r="C115" s="2">
        <f>C126</f>
        <v>72008.515267027207</v>
      </c>
      <c r="D115" s="2">
        <f>D126</f>
        <v>1.6159392493733864</v>
      </c>
    </row>
    <row r="116" spans="1:6">
      <c r="A116" s="43"/>
      <c r="B116" s="26" t="s">
        <v>4</v>
      </c>
      <c r="C116" s="13">
        <f>1487.2*29.52</f>
        <v>43902.144</v>
      </c>
      <c r="D116" s="2">
        <f>C116/D11/12</f>
        <v>0.9852056712760372</v>
      </c>
    </row>
    <row r="117" spans="1:6" ht="28.5">
      <c r="A117" s="43"/>
      <c r="B117" s="27" t="s">
        <v>5</v>
      </c>
      <c r="C117" s="2">
        <f>C116*0.302</f>
        <v>13258.447488</v>
      </c>
      <c r="D117" s="2">
        <f>C117/D11/12</f>
        <v>0.29753211272536323</v>
      </c>
    </row>
    <row r="118" spans="1:6">
      <c r="A118" s="43"/>
      <c r="B118" s="24" t="s">
        <v>6</v>
      </c>
      <c r="C118" s="13">
        <f>1487.2*1.91</f>
        <v>2840.5520000000001</v>
      </c>
      <c r="D118" s="2">
        <f>C118/D11/12</f>
        <v>6.3744675885407553E-2</v>
      </c>
    </row>
    <row r="119" spans="1:6">
      <c r="A119" s="43"/>
      <c r="B119" s="3" t="s">
        <v>12</v>
      </c>
      <c r="C119" s="13">
        <f>(64000+12000)/51186.1*1487.2</f>
        <v>2208.1619814754399</v>
      </c>
      <c r="D119" s="2">
        <f>C119/D11/12</f>
        <v>4.9553245218405172E-2</v>
      </c>
    </row>
    <row r="120" spans="1:6">
      <c r="A120" s="43"/>
      <c r="B120" s="24" t="s">
        <v>8</v>
      </c>
      <c r="C120" s="2">
        <f>C116+C117+C118+C119</f>
        <v>62209.305469475439</v>
      </c>
      <c r="D120" s="2">
        <f>D116+D117+D118+D119</f>
        <v>1.3960357051052132</v>
      </c>
    </row>
    <row r="121" spans="1:6">
      <c r="A121" s="43"/>
      <c r="B121" s="3" t="s">
        <v>9</v>
      </c>
      <c r="C121" s="2">
        <f>C120*5/100</f>
        <v>3110.465273473772</v>
      </c>
      <c r="D121" s="2">
        <f>C121/D11/12</f>
        <v>6.9801785255260651E-2</v>
      </c>
    </row>
    <row r="122" spans="1:6">
      <c r="A122" s="43"/>
      <c r="B122" s="24" t="s">
        <v>8</v>
      </c>
      <c r="C122" s="2">
        <f>C120+C121</f>
        <v>65319.770742949215</v>
      </c>
      <c r="D122" s="2">
        <f>D120+D121</f>
        <v>1.4658374903604738</v>
      </c>
    </row>
    <row r="123" spans="1:6">
      <c r="A123" s="43"/>
      <c r="B123" s="24" t="s">
        <v>10</v>
      </c>
      <c r="C123" s="2">
        <f>C122*6/100</f>
        <v>3919.186244576953</v>
      </c>
      <c r="D123" s="2">
        <f>C123/D11/12</f>
        <v>8.7950249421628435E-2</v>
      </c>
    </row>
    <row r="124" spans="1:6">
      <c r="A124" s="43"/>
      <c r="B124" s="24" t="s">
        <v>8</v>
      </c>
      <c r="C124" s="2">
        <f>C122+C123</f>
        <v>69238.956987526166</v>
      </c>
      <c r="D124" s="2">
        <f>D122+D123</f>
        <v>1.5537877397821023</v>
      </c>
    </row>
    <row r="125" spans="1:6">
      <c r="A125" s="43"/>
      <c r="B125" s="5" t="s">
        <v>11</v>
      </c>
      <c r="C125" s="2">
        <f>C124*4/100</f>
        <v>2769.5582795010469</v>
      </c>
      <c r="D125" s="2">
        <f>C125/D11/12</f>
        <v>6.2151509591284092E-2</v>
      </c>
    </row>
    <row r="126" spans="1:6">
      <c r="A126" s="43"/>
      <c r="B126" s="5" t="s">
        <v>8</v>
      </c>
      <c r="C126" s="2">
        <f>C124+C125</f>
        <v>72008.515267027207</v>
      </c>
      <c r="D126" s="2">
        <f>D124+D125</f>
        <v>1.6159392493733864</v>
      </c>
    </row>
    <row r="127" spans="1:6" ht="44.25" customHeight="1">
      <c r="A127" s="42" t="s">
        <v>64</v>
      </c>
      <c r="B127" s="5" t="s">
        <v>65</v>
      </c>
      <c r="C127" s="4">
        <f>C131+C139+C135</f>
        <v>1643.6725759999999</v>
      </c>
      <c r="D127" s="4">
        <f>D131+D139+D135</f>
        <v>3.6885568586265238E-2</v>
      </c>
      <c r="F127" s="17"/>
    </row>
    <row r="128" spans="1:6">
      <c r="A128" s="43" t="s">
        <v>35</v>
      </c>
      <c r="B128" s="5" t="s">
        <v>130</v>
      </c>
      <c r="C128" s="46"/>
      <c r="D128" s="4"/>
    </row>
    <row r="129" spans="1:5">
      <c r="A129" s="43"/>
      <c r="B129" s="24" t="s">
        <v>10</v>
      </c>
      <c r="C129" s="2">
        <f xml:space="preserve"> 3384.09*6/100</f>
        <v>203.0454</v>
      </c>
      <c r="D129" s="2">
        <f>C129/12/D11</f>
        <v>4.5565309887032274E-3</v>
      </c>
    </row>
    <row r="130" spans="1:5">
      <c r="A130" s="43"/>
      <c r="B130" s="5" t="s">
        <v>11</v>
      </c>
      <c r="C130" s="2">
        <f xml:space="preserve"> (3384.09+C129)*4/100</f>
        <v>143.48541600000001</v>
      </c>
      <c r="D130" s="2">
        <f>C130/12/D11</f>
        <v>3.2199485653502812E-3</v>
      </c>
    </row>
    <row r="131" spans="1:5">
      <c r="A131" s="43"/>
      <c r="B131" s="5" t="s">
        <v>8</v>
      </c>
      <c r="C131" s="2">
        <f>C129+C130</f>
        <v>346.53081600000002</v>
      </c>
      <c r="D131" s="2">
        <f>D129+D130</f>
        <v>7.776479554053509E-3</v>
      </c>
    </row>
    <row r="132" spans="1:5">
      <c r="A132" s="55" t="s">
        <v>36</v>
      </c>
      <c r="B132" s="5" t="s">
        <v>131</v>
      </c>
      <c r="C132" s="46"/>
      <c r="D132" s="4"/>
    </row>
    <row r="133" spans="1:5">
      <c r="A133" s="55"/>
      <c r="B133" s="24" t="s">
        <v>10</v>
      </c>
      <c r="C133" s="2">
        <f>2996.75*6/100</f>
        <v>179.80500000000001</v>
      </c>
      <c r="D133" s="2">
        <f>C133/12/D11</f>
        <v>4.0349944122042847E-3</v>
      </c>
    </row>
    <row r="134" spans="1:5">
      <c r="A134" s="55"/>
      <c r="B134" s="5" t="s">
        <v>11</v>
      </c>
      <c r="C134" s="2">
        <f>(2996.75+C133)*4/100</f>
        <v>127.06219999999999</v>
      </c>
      <c r="D134" s="2">
        <f>C134/12/D11</f>
        <v>2.8513960512910274E-3</v>
      </c>
    </row>
    <row r="135" spans="1:5">
      <c r="A135" s="55"/>
      <c r="B135" s="5" t="s">
        <v>8</v>
      </c>
      <c r="C135" s="2">
        <f t="shared" ref="C135:D135" si="0">C133+C134</f>
        <v>306.86720000000003</v>
      </c>
      <c r="D135" s="2">
        <f t="shared" si="0"/>
        <v>6.8863904634953125E-3</v>
      </c>
    </row>
    <row r="136" spans="1:5">
      <c r="A136" s="43" t="s">
        <v>36</v>
      </c>
      <c r="B136" s="5" t="s">
        <v>132</v>
      </c>
      <c r="C136" s="46"/>
      <c r="D136" s="4"/>
    </row>
    <row r="137" spans="1:5">
      <c r="A137" s="43"/>
      <c r="B137" s="24" t="s">
        <v>10</v>
      </c>
      <c r="C137" s="2">
        <f>9670.65*6/100</f>
        <v>580.23899999999992</v>
      </c>
      <c r="D137" s="2">
        <f>C137/12/D11</f>
        <v>1.3021112442607279E-2</v>
      </c>
    </row>
    <row r="138" spans="1:5">
      <c r="A138" s="43"/>
      <c r="B138" s="5" t="s">
        <v>11</v>
      </c>
      <c r="C138" s="2">
        <f>(9670.65+C137)*4/100</f>
        <v>410.03555999999998</v>
      </c>
      <c r="D138" s="2">
        <f>C138/12/D11</f>
        <v>9.2015861261091434E-3</v>
      </c>
    </row>
    <row r="139" spans="1:5">
      <c r="A139" s="43"/>
      <c r="B139" s="5" t="s">
        <v>8</v>
      </c>
      <c r="C139" s="2">
        <f t="shared" ref="C139" si="1">C137+C138</f>
        <v>990.27455999999984</v>
      </c>
      <c r="D139" s="2">
        <f t="shared" ref="D139" si="2">D137+D138</f>
        <v>2.222269856871642E-2</v>
      </c>
    </row>
    <row r="140" spans="1:5">
      <c r="A140" s="43"/>
      <c r="B140" s="6" t="s">
        <v>30</v>
      </c>
      <c r="C140" s="2">
        <f>C12+C47+C127</f>
        <v>814745.74192469055</v>
      </c>
      <c r="D140" s="2">
        <f>D12+D47+D127</f>
        <v>18.283665726945081</v>
      </c>
      <c r="E140" s="17"/>
    </row>
    <row r="141" spans="1:5" ht="28.5">
      <c r="A141" s="42" t="s">
        <v>66</v>
      </c>
      <c r="B141" s="24" t="s">
        <v>67</v>
      </c>
      <c r="C141" s="2">
        <v>133710</v>
      </c>
      <c r="D141" s="29">
        <v>3</v>
      </c>
    </row>
    <row r="142" spans="1:5" hidden="1">
      <c r="A142" s="43"/>
      <c r="B142" s="6" t="s">
        <v>30</v>
      </c>
      <c r="C142" s="7"/>
      <c r="D142" s="7"/>
    </row>
    <row r="143" spans="1:5" hidden="1">
      <c r="A143" s="42" t="s">
        <v>72</v>
      </c>
      <c r="B143" s="3" t="s">
        <v>73</v>
      </c>
      <c r="C143" s="2">
        <v>0</v>
      </c>
      <c r="D143" s="2">
        <v>0</v>
      </c>
    </row>
    <row r="144" spans="1:5">
      <c r="A144" s="43"/>
      <c r="B144" s="41" t="s">
        <v>71</v>
      </c>
      <c r="C144" s="2">
        <f>C140+C141</f>
        <v>948455.74192469055</v>
      </c>
      <c r="D144" s="2">
        <f>D140+D141</f>
        <v>21.283665726945081</v>
      </c>
    </row>
    <row r="145" spans="2:4">
      <c r="B145" s="8"/>
      <c r="C145" s="15"/>
      <c r="D145" s="8"/>
    </row>
    <row r="146" spans="2:4">
      <c r="B146" s="9" t="s">
        <v>75</v>
      </c>
      <c r="C146" s="16"/>
      <c r="D146" s="10"/>
    </row>
    <row r="147" spans="2:4" ht="15.75">
      <c r="B147" s="30" t="s">
        <v>47</v>
      </c>
      <c r="C147" s="31"/>
      <c r="D147" s="30"/>
    </row>
    <row r="148" spans="2:4" ht="15.75">
      <c r="B148" s="30"/>
      <c r="C148" s="31"/>
      <c r="D148" s="30"/>
    </row>
    <row r="149" spans="2:4">
      <c r="B149" s="72" t="s">
        <v>31</v>
      </c>
      <c r="C149" s="72"/>
      <c r="D149" s="72"/>
    </row>
    <row r="150" spans="2:4" ht="15.75">
      <c r="B150" s="30"/>
      <c r="C150" s="31"/>
      <c r="D150" s="30"/>
    </row>
  </sheetData>
  <mergeCells count="11">
    <mergeCell ref="A9:A10"/>
    <mergeCell ref="B9:B10"/>
    <mergeCell ref="C9:C10"/>
    <mergeCell ref="D9:D10"/>
    <mergeCell ref="B149:D149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1"/>
  <sheetViews>
    <sheetView zoomScale="130" zoomScaleNormal="130" workbookViewId="0">
      <selection activeCell="B152" sqref="B152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84</v>
      </c>
      <c r="C7" s="66"/>
      <c r="D7" s="66"/>
    </row>
    <row r="8" spans="1:6" ht="8.25" customHeight="1">
      <c r="B8" s="62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61"/>
      <c r="B11" s="22" t="s">
        <v>53</v>
      </c>
      <c r="C11" s="2"/>
      <c r="D11" s="2">
        <v>4581.1099999999997</v>
      </c>
    </row>
    <row r="12" spans="1:6">
      <c r="A12" s="42" t="s">
        <v>51</v>
      </c>
      <c r="B12" s="24" t="s">
        <v>52</v>
      </c>
      <c r="C12" s="2">
        <f>C13+C24+C43</f>
        <v>467459.42152125854</v>
      </c>
      <c r="D12" s="2">
        <f>D13+D24+D43</f>
        <v>8.5033871252683753</v>
      </c>
    </row>
    <row r="13" spans="1:6">
      <c r="A13" s="61" t="s">
        <v>35</v>
      </c>
      <c r="B13" s="24" t="s">
        <v>70</v>
      </c>
      <c r="C13" s="2">
        <f>C23</f>
        <v>300324.38274058019</v>
      </c>
      <c r="D13" s="2">
        <f>D23</f>
        <v>5.4630934195093221</v>
      </c>
      <c r="F13" s="17"/>
    </row>
    <row r="14" spans="1:6">
      <c r="A14" s="61"/>
      <c r="B14" s="24" t="s">
        <v>13</v>
      </c>
      <c r="C14" s="2">
        <f>(2363756.52+40177.8)/56146.82*D11</f>
        <v>196140.89547182189</v>
      </c>
      <c r="D14" s="2">
        <f>C14/D11/12</f>
        <v>3.5679288693464741</v>
      </c>
    </row>
    <row r="15" spans="1:6" ht="28.5">
      <c r="A15" s="61"/>
      <c r="B15" s="27" t="s">
        <v>5</v>
      </c>
      <c r="C15" s="2">
        <f>C14*0.302</f>
        <v>59234.550432490207</v>
      </c>
      <c r="D15" s="2">
        <f>D14*0.302</f>
        <v>1.0775145185426351</v>
      </c>
    </row>
    <row r="16" spans="1:6">
      <c r="A16" s="61"/>
      <c r="B16" s="24" t="s">
        <v>6</v>
      </c>
      <c r="C16" s="14">
        <f>50000/56146.82*D11</f>
        <v>4079.5809985320625</v>
      </c>
      <c r="D16" s="2">
        <f>C16/D11/12</f>
        <v>7.421019866604496E-2</v>
      </c>
    </row>
    <row r="17" spans="1:4">
      <c r="A17" s="61"/>
      <c r="B17" s="24" t="s">
        <v>8</v>
      </c>
      <c r="C17" s="2">
        <f>C14+C15+C16</f>
        <v>259455.02690284417</v>
      </c>
      <c r="D17" s="2">
        <f>D14+D15+D16</f>
        <v>4.7196535865551548</v>
      </c>
    </row>
    <row r="18" spans="1:4">
      <c r="A18" s="61"/>
      <c r="B18" s="3" t="s">
        <v>9</v>
      </c>
      <c r="C18" s="2">
        <f>C17*5/100</f>
        <v>12972.751345142207</v>
      </c>
      <c r="D18" s="2">
        <f>D17*5/100</f>
        <v>0.23598267932775774</v>
      </c>
    </row>
    <row r="19" spans="1:4">
      <c r="A19" s="61"/>
      <c r="B19" s="24" t="s">
        <v>8</v>
      </c>
      <c r="C19" s="2">
        <f>C17+C18</f>
        <v>272427.7782479864</v>
      </c>
      <c r="D19" s="2">
        <f>D17+D18</f>
        <v>4.9556362658829123</v>
      </c>
    </row>
    <row r="20" spans="1:4">
      <c r="A20" s="61"/>
      <c r="B20" s="24" t="s">
        <v>10</v>
      </c>
      <c r="C20" s="2">
        <f>C19*6/100</f>
        <v>16345.666694879183</v>
      </c>
      <c r="D20" s="2">
        <f>D19*6/100</f>
        <v>0.29733817595297474</v>
      </c>
    </row>
    <row r="21" spans="1:4">
      <c r="A21" s="61"/>
      <c r="B21" s="24" t="s">
        <v>8</v>
      </c>
      <c r="C21" s="2">
        <f>C19+C20</f>
        <v>288773.44494286558</v>
      </c>
      <c r="D21" s="2">
        <f>D19+D20</f>
        <v>5.252974441835887</v>
      </c>
    </row>
    <row r="22" spans="1:4">
      <c r="A22" s="61"/>
      <c r="B22" s="5" t="s">
        <v>11</v>
      </c>
      <c r="C22" s="2">
        <f>C21*4/100</f>
        <v>11550.937797714623</v>
      </c>
      <c r="D22" s="2">
        <f>D21*4/100</f>
        <v>0.21011897767343549</v>
      </c>
    </row>
    <row r="23" spans="1:4">
      <c r="A23" s="61"/>
      <c r="B23" s="5" t="s">
        <v>8</v>
      </c>
      <c r="C23" s="2">
        <f>C21+C22</f>
        <v>300324.38274058019</v>
      </c>
      <c r="D23" s="2">
        <f>D21+D22</f>
        <v>5.4630934195093221</v>
      </c>
    </row>
    <row r="24" spans="1:4">
      <c r="A24" s="61" t="s">
        <v>36</v>
      </c>
      <c r="B24" s="24" t="s">
        <v>69</v>
      </c>
      <c r="C24" s="2">
        <f>C42</f>
        <v>112421.88878067832</v>
      </c>
      <c r="D24" s="2">
        <f>D42</f>
        <v>2.0450263651654716</v>
      </c>
    </row>
    <row r="25" spans="1:4">
      <c r="A25" s="61"/>
      <c r="B25" s="3" t="s">
        <v>17</v>
      </c>
      <c r="C25" s="2">
        <f>16000/56146.82*D11</f>
        <v>1305.46591953026</v>
      </c>
      <c r="D25" s="2">
        <f>C25/D11/12</f>
        <v>2.3747263573134388E-2</v>
      </c>
    </row>
    <row r="26" spans="1:4">
      <c r="A26" s="61"/>
      <c r="B26" s="3" t="s">
        <v>18</v>
      </c>
      <c r="C26" s="2">
        <f>((23200+5300)*12)/56146.82*D11</f>
        <v>27904.334029959311</v>
      </c>
      <c r="D26" s="2">
        <f>C26/D11/12</f>
        <v>0.50759775887574754</v>
      </c>
    </row>
    <row r="27" spans="1:4">
      <c r="A27" s="61"/>
      <c r="B27" s="3" t="s">
        <v>19</v>
      </c>
      <c r="C27" s="2">
        <f>26500*12/56146.82*D11</f>
        <v>25946.135150663918</v>
      </c>
      <c r="D27" s="2">
        <f>C27/D11/12</f>
        <v>0.47197686351604595</v>
      </c>
    </row>
    <row r="28" spans="1:4">
      <c r="A28" s="61"/>
      <c r="B28" s="3" t="s">
        <v>20</v>
      </c>
      <c r="C28" s="2">
        <f>45000/56146.82*D11</f>
        <v>3671.622898678856</v>
      </c>
      <c r="D28" s="2">
        <f>C28/D11/12</f>
        <v>6.6789178799440463E-2</v>
      </c>
    </row>
    <row r="29" spans="1:4">
      <c r="A29" s="61"/>
      <c r="B29" s="3" t="s">
        <v>21</v>
      </c>
      <c r="C29" s="2">
        <f>56221.5/56146.82*D11</f>
        <v>4587.2032621794069</v>
      </c>
      <c r="D29" s="2">
        <f>C29/D11/12</f>
        <v>8.3444173686060941E-2</v>
      </c>
    </row>
    <row r="30" spans="1:4">
      <c r="A30" s="61"/>
      <c r="B30" s="3" t="s">
        <v>22</v>
      </c>
      <c r="C30" s="2">
        <f>80170.37/56146.82*D11</f>
        <v>6541.230361945698</v>
      </c>
      <c r="D30" s="2">
        <f>C30/D11/12</f>
        <v>0.11898918169660662</v>
      </c>
    </row>
    <row r="31" spans="1:4">
      <c r="A31" s="61"/>
      <c r="B31" s="3" t="s">
        <v>23</v>
      </c>
      <c r="C31" s="2">
        <f>93800/56146.82*D11</f>
        <v>7653.2939532461496</v>
      </c>
      <c r="D31" s="2">
        <f>C31/D11/12</f>
        <v>0.13921833269750036</v>
      </c>
    </row>
    <row r="32" spans="1:4">
      <c r="A32" s="61"/>
      <c r="B32" s="3" t="s">
        <v>24</v>
      </c>
      <c r="C32" s="2">
        <f>7000/56146.82*D11</f>
        <v>571.14133979448877</v>
      </c>
      <c r="D32" s="2">
        <f>C32/D11/12</f>
        <v>1.0389427813246295E-2</v>
      </c>
    </row>
    <row r="33" spans="1:5">
      <c r="A33" s="61"/>
      <c r="B33" s="3" t="s">
        <v>25</v>
      </c>
      <c r="C33" s="2">
        <f>113064/56146.82*D11</f>
        <v>9225.0749203605828</v>
      </c>
      <c r="D33" s="2">
        <f>C33/D11/12</f>
        <v>0.16781003803955416</v>
      </c>
    </row>
    <row r="34" spans="1:5">
      <c r="A34" s="61"/>
      <c r="B34" s="3" t="s">
        <v>26</v>
      </c>
      <c r="C34" s="2">
        <f>84600/56146.82*D11</f>
        <v>6902.6510495162502</v>
      </c>
      <c r="D34" s="2">
        <f>C34/D11/12</f>
        <v>0.12556365614294809</v>
      </c>
    </row>
    <row r="35" spans="1:5">
      <c r="A35" s="61"/>
      <c r="B35" s="3" t="s">
        <v>27</v>
      </c>
      <c r="C35" s="2">
        <f>34500/56146.82*D11</f>
        <v>2814.9108889871231</v>
      </c>
      <c r="D35" s="2">
        <f>C35/D11/12</f>
        <v>5.1205037079571025E-2</v>
      </c>
    </row>
    <row r="36" spans="1:5">
      <c r="A36" s="61"/>
      <c r="B36" s="24" t="s">
        <v>8</v>
      </c>
      <c r="C36" s="2">
        <f>SUM(C25:C35)</f>
        <v>97123.063774862036</v>
      </c>
      <c r="D36" s="2">
        <f>SUM(D25:D35)</f>
        <v>1.766730911919856</v>
      </c>
    </row>
    <row r="37" spans="1:5">
      <c r="A37" s="61"/>
      <c r="B37" s="3" t="s">
        <v>9</v>
      </c>
      <c r="C37" s="2">
        <f>C36*5/100</f>
        <v>4856.153188743102</v>
      </c>
      <c r="D37" s="2">
        <f>D36*5/100</f>
        <v>8.8336545595992799E-2</v>
      </c>
    </row>
    <row r="38" spans="1:5">
      <c r="A38" s="61"/>
      <c r="B38" s="24" t="s">
        <v>8</v>
      </c>
      <c r="C38" s="2">
        <f>C36+C37</f>
        <v>101979.21696360514</v>
      </c>
      <c r="D38" s="2">
        <f>D36+D37</f>
        <v>1.8550674575158488</v>
      </c>
    </row>
    <row r="39" spans="1:5">
      <c r="A39" s="61"/>
      <c r="B39" s="24" t="s">
        <v>10</v>
      </c>
      <c r="C39" s="2">
        <f>C38*6/100</f>
        <v>6118.7530178163088</v>
      </c>
      <c r="D39" s="2">
        <f>D38*6/100</f>
        <v>0.11130404745095092</v>
      </c>
    </row>
    <row r="40" spans="1:5">
      <c r="A40" s="61"/>
      <c r="B40" s="24" t="s">
        <v>8</v>
      </c>
      <c r="C40" s="2">
        <f>C38+C39</f>
        <v>108097.96998142145</v>
      </c>
      <c r="D40" s="2">
        <f>D38+D39</f>
        <v>1.9663715049667998</v>
      </c>
    </row>
    <row r="41" spans="1:5">
      <c r="A41" s="61"/>
      <c r="B41" s="5" t="s">
        <v>11</v>
      </c>
      <c r="C41" s="2">
        <f>C40*4/100</f>
        <v>4323.9187992568586</v>
      </c>
      <c r="D41" s="2">
        <f>D40*4/100</f>
        <v>7.8654860198671989E-2</v>
      </c>
    </row>
    <row r="42" spans="1:5">
      <c r="A42" s="61"/>
      <c r="B42" s="5" t="s">
        <v>8</v>
      </c>
      <c r="C42" s="2">
        <f>SUM(C40:C41)</f>
        <v>112421.88878067832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54713.15</v>
      </c>
      <c r="D43" s="2">
        <f>D46</f>
        <v>0.99526734059358257</v>
      </c>
    </row>
    <row r="44" spans="1:5">
      <c r="A44" s="61"/>
      <c r="B44" s="5" t="s">
        <v>28</v>
      </c>
      <c r="C44" s="46">
        <v>51382.720000000001</v>
      </c>
      <c r="D44" s="4">
        <f>C44/12/D11</f>
        <v>0.93468467976829495</v>
      </c>
    </row>
    <row r="45" spans="1:5" ht="19.5" customHeight="1">
      <c r="A45" s="61"/>
      <c r="B45" s="5" t="s">
        <v>29</v>
      </c>
      <c r="C45" s="46">
        <v>3330.43</v>
      </c>
      <c r="D45" s="4">
        <f>C45/12/D11</f>
        <v>6.0582660825287613E-2</v>
      </c>
    </row>
    <row r="46" spans="1:5">
      <c r="A46" s="61"/>
      <c r="B46" s="5" t="s">
        <v>8</v>
      </c>
      <c r="C46" s="4">
        <f>C44+C45</f>
        <v>54713.15</v>
      </c>
      <c r="D46" s="4">
        <f>D44+D45</f>
        <v>0.99526734059358257</v>
      </c>
      <c r="E46" s="63"/>
    </row>
    <row r="47" spans="1:5">
      <c r="A47" s="42" t="s">
        <v>54</v>
      </c>
      <c r="B47" s="5" t="s">
        <v>55</v>
      </c>
      <c r="C47" s="2">
        <f>C48+C59+C103</f>
        <v>609672.89771556132</v>
      </c>
      <c r="D47" s="2">
        <f>D48+D59+D103</f>
        <v>11.090341600535702</v>
      </c>
    </row>
    <row r="48" spans="1:5" ht="47.25" customHeight="1">
      <c r="A48" s="61" t="s">
        <v>35</v>
      </c>
      <c r="B48" s="28" t="s">
        <v>46</v>
      </c>
      <c r="C48" s="4">
        <f>C58</f>
        <v>50733.10271317236</v>
      </c>
      <c r="D48" s="4">
        <f>D58</f>
        <v>0.92286772407364825</v>
      </c>
    </row>
    <row r="49" spans="1:7">
      <c r="A49" s="61"/>
      <c r="B49" s="24" t="s">
        <v>13</v>
      </c>
      <c r="C49" s="2">
        <f>(214308.36+159867.48)/56146.82*D11</f>
        <v>30529.612939475464</v>
      </c>
      <c r="D49" s="2">
        <f>C49/D11/12</f>
        <v>0.55535326844868504</v>
      </c>
    </row>
    <row r="50" spans="1:7">
      <c r="A50" s="61"/>
      <c r="B50" s="24" t="s">
        <v>14</v>
      </c>
      <c r="C50" s="2">
        <f>C49*0.302</f>
        <v>9219.9431077215904</v>
      </c>
      <c r="D50" s="2">
        <f>C50/D11/12</f>
        <v>0.16771668707150289</v>
      </c>
    </row>
    <row r="51" spans="1:7">
      <c r="A51" s="61"/>
      <c r="B51" s="24" t="s">
        <v>6</v>
      </c>
      <c r="C51" s="13">
        <f>50000/56146.82*D11</f>
        <v>4079.5809985320625</v>
      </c>
      <c r="D51" s="2">
        <f>C51/D11/12</f>
        <v>7.421019866604496E-2</v>
      </c>
    </row>
    <row r="52" spans="1:7">
      <c r="A52" s="61"/>
      <c r="B52" s="24" t="s">
        <v>8</v>
      </c>
      <c r="C52" s="2">
        <f>C49+C50+C51</f>
        <v>43829.137045729112</v>
      </c>
      <c r="D52" s="2">
        <f>D49+D50+D51</f>
        <v>0.79728015418623288</v>
      </c>
    </row>
    <row r="53" spans="1:7">
      <c r="A53" s="61"/>
      <c r="B53" s="3" t="s">
        <v>9</v>
      </c>
      <c r="C53" s="2">
        <f>C52*5/100</f>
        <v>2191.4568522864556</v>
      </c>
      <c r="D53" s="2">
        <f>D52*5/100</f>
        <v>3.9864007709311644E-2</v>
      </c>
    </row>
    <row r="54" spans="1:7">
      <c r="A54" s="61"/>
      <c r="B54" s="24" t="s">
        <v>8</v>
      </c>
      <c r="C54" s="2">
        <f>C52+C53</f>
        <v>46020.59389801557</v>
      </c>
      <c r="D54" s="2">
        <f>D52+D53</f>
        <v>0.83714416189554453</v>
      </c>
    </row>
    <row r="55" spans="1:7">
      <c r="A55" s="61"/>
      <c r="B55" s="24" t="s">
        <v>10</v>
      </c>
      <c r="C55" s="2">
        <f>C54*6/100</f>
        <v>2761.2356338809345</v>
      </c>
      <c r="D55" s="2">
        <f>D54*6/100</f>
        <v>5.022864971373267E-2</v>
      </c>
    </row>
    <row r="56" spans="1:7">
      <c r="A56" s="61"/>
      <c r="B56" s="24" t="s">
        <v>8</v>
      </c>
      <c r="C56" s="2">
        <f>C54+C55</f>
        <v>48781.829531896503</v>
      </c>
      <c r="D56" s="2">
        <f>D54+D55</f>
        <v>0.88737281160927717</v>
      </c>
    </row>
    <row r="57" spans="1:7">
      <c r="A57" s="61"/>
      <c r="B57" s="5" t="s">
        <v>11</v>
      </c>
      <c r="C57" s="2">
        <f>C56*4/100</f>
        <v>1951.2731812758602</v>
      </c>
      <c r="D57" s="2">
        <f>D56*4/100</f>
        <v>3.5494912464371087E-2</v>
      </c>
    </row>
    <row r="58" spans="1:7">
      <c r="A58" s="61"/>
      <c r="B58" s="5" t="s">
        <v>8</v>
      </c>
      <c r="C58" s="2">
        <f>C56+C57</f>
        <v>50733.10271317236</v>
      </c>
      <c r="D58" s="2">
        <f>D56+D57</f>
        <v>0.92286772407364825</v>
      </c>
    </row>
    <row r="59" spans="1:7" ht="63">
      <c r="A59" s="61" t="s">
        <v>36</v>
      </c>
      <c r="B59" s="28" t="s">
        <v>37</v>
      </c>
      <c r="C59" s="23">
        <f>C60+C72+C83+C94+C102</f>
        <v>391300.17407791491</v>
      </c>
      <c r="D59" s="23">
        <f>D60+D72+D83+D94+D102</f>
        <v>7.1180014974157446</v>
      </c>
      <c r="G59" s="17"/>
    </row>
    <row r="60" spans="1:7">
      <c r="A60" s="61" t="s">
        <v>38</v>
      </c>
      <c r="B60" s="24" t="s">
        <v>40</v>
      </c>
      <c r="C60" s="2">
        <f>C71</f>
        <v>77476.173418746781</v>
      </c>
      <c r="D60" s="2">
        <f>D71</f>
        <v>1.4093413572028537</v>
      </c>
    </row>
    <row r="61" spans="1:7">
      <c r="A61" s="61"/>
      <c r="B61" s="24" t="s">
        <v>13</v>
      </c>
      <c r="C61" s="2">
        <f>(402940.32+0.5*298665.6)/56146.82*D11</f>
        <v>45060.858527040349</v>
      </c>
      <c r="D61" s="2">
        <f>C61/D11/12</f>
        <v>0.81968595906232977</v>
      </c>
    </row>
    <row r="62" spans="1:7">
      <c r="A62" s="61"/>
      <c r="B62" s="24" t="s">
        <v>14</v>
      </c>
      <c r="C62" s="2">
        <f>C61*0.302</f>
        <v>13608.379275166186</v>
      </c>
      <c r="D62" s="2">
        <f>C62/D11/12</f>
        <v>0.24754515963682358</v>
      </c>
    </row>
    <row r="63" spans="1:7">
      <c r="A63" s="61"/>
      <c r="B63" s="24" t="s">
        <v>6</v>
      </c>
      <c r="C63" s="13">
        <f>40000/56146.82*D11</f>
        <v>3263.66479882565</v>
      </c>
      <c r="D63" s="2">
        <f>C63/D11/12</f>
        <v>5.9368158932835972E-2</v>
      </c>
    </row>
    <row r="64" spans="1:7">
      <c r="A64" s="61"/>
      <c r="B64" s="24" t="s">
        <v>90</v>
      </c>
      <c r="C64" s="13">
        <v>5000</v>
      </c>
      <c r="D64" s="2">
        <f>C64/D11/12</f>
        <v>9.095321148513498E-2</v>
      </c>
    </row>
    <row r="65" spans="1:4">
      <c r="A65" s="61"/>
      <c r="B65" s="24" t="s">
        <v>8</v>
      </c>
      <c r="C65" s="2">
        <f>C61+C62+C63+C64</f>
        <v>66932.902601032198</v>
      </c>
      <c r="D65" s="2">
        <f>D61+D62+D63+D64</f>
        <v>1.2175524891171243</v>
      </c>
    </row>
    <row r="66" spans="1:4">
      <c r="A66" s="61"/>
      <c r="B66" s="3" t="s">
        <v>9</v>
      </c>
      <c r="C66" s="2">
        <f>C65*5/100</f>
        <v>3346.6451300516096</v>
      </c>
      <c r="D66" s="2">
        <f>D65*5/100</f>
        <v>6.0877624455856212E-2</v>
      </c>
    </row>
    <row r="67" spans="1:4">
      <c r="A67" s="61"/>
      <c r="B67" s="24" t="s">
        <v>8</v>
      </c>
      <c r="C67" s="2">
        <f>C65+C66</f>
        <v>70279.547731083803</v>
      </c>
      <c r="D67" s="2">
        <f>D65+D66</f>
        <v>1.2784301135729805</v>
      </c>
    </row>
    <row r="68" spans="1:4">
      <c r="A68" s="61"/>
      <c r="B68" s="24" t="s">
        <v>10</v>
      </c>
      <c r="C68" s="2">
        <f>C67*6/100</f>
        <v>4216.7728638650278</v>
      </c>
      <c r="D68" s="2">
        <f>D67*6/100</f>
        <v>7.670580681437883E-2</v>
      </c>
    </row>
    <row r="69" spans="1:4">
      <c r="A69" s="61"/>
      <c r="B69" s="24" t="s">
        <v>8</v>
      </c>
      <c r="C69" s="2">
        <f>C67+C68</f>
        <v>74496.320594948833</v>
      </c>
      <c r="D69" s="2">
        <f>D67+D68</f>
        <v>1.3551359203873594</v>
      </c>
    </row>
    <row r="70" spans="1:4">
      <c r="A70" s="61"/>
      <c r="B70" s="5" t="s">
        <v>11</v>
      </c>
      <c r="C70" s="2">
        <f>C69*4/100</f>
        <v>2979.8528237979535</v>
      </c>
      <c r="D70" s="2">
        <f>D69*4/100</f>
        <v>5.4205436815494376E-2</v>
      </c>
    </row>
    <row r="71" spans="1:4">
      <c r="A71" s="61"/>
      <c r="B71" s="5" t="s">
        <v>8</v>
      </c>
      <c r="C71" s="2">
        <f>C69+C70</f>
        <v>77476.173418746781</v>
      </c>
      <c r="D71" s="2">
        <f>D69+D70</f>
        <v>1.4093413572028537</v>
      </c>
    </row>
    <row r="72" spans="1:4">
      <c r="A72" s="61" t="s">
        <v>39</v>
      </c>
      <c r="B72" s="24" t="s">
        <v>41</v>
      </c>
      <c r="C72" s="2">
        <f>C82</f>
        <v>30274.64997677306</v>
      </c>
      <c r="D72" s="2">
        <f>D82</f>
        <v>0.55071532839517534</v>
      </c>
    </row>
    <row r="73" spans="1:4">
      <c r="A73" s="61"/>
      <c r="B73" s="24" t="s">
        <v>13</v>
      </c>
      <c r="C73" s="2">
        <f>(171109.32+0.2*298665.6)/56146.82*D11</f>
        <v>18834.808637575556</v>
      </c>
      <c r="D73" s="2">
        <f>C73/D11/12</f>
        <v>0.34261726665909126</v>
      </c>
    </row>
    <row r="74" spans="1:4" ht="28.5">
      <c r="A74" s="61"/>
      <c r="B74" s="27" t="s">
        <v>5</v>
      </c>
      <c r="C74" s="2">
        <f>C73*0.302</f>
        <v>5688.1122085478173</v>
      </c>
      <c r="D74" s="2">
        <f>C74/D11/12</f>
        <v>0.10347041453104557</v>
      </c>
    </row>
    <row r="75" spans="1:4">
      <c r="A75" s="61"/>
      <c r="B75" s="24" t="s">
        <v>6</v>
      </c>
      <c r="C75" s="13">
        <f>20000/56146.82*D11</f>
        <v>1631.832399412825</v>
      </c>
      <c r="D75" s="2">
        <f>C75/D11/12</f>
        <v>2.9684079466417986E-2</v>
      </c>
    </row>
    <row r="76" spans="1:4">
      <c r="A76" s="61"/>
      <c r="B76" s="24" t="s">
        <v>8</v>
      </c>
      <c r="C76" s="2">
        <f>C73+C74+C75</f>
        <v>26154.753245536198</v>
      </c>
      <c r="D76" s="2">
        <f>D73+D74+D75</f>
        <v>0.4757717606565548</v>
      </c>
    </row>
    <row r="77" spans="1:4">
      <c r="A77" s="61"/>
      <c r="B77" s="3" t="s">
        <v>9</v>
      </c>
      <c r="C77" s="2">
        <f>C76*5/100</f>
        <v>1307.7376622768099</v>
      </c>
      <c r="D77" s="2">
        <f>D76*5/100</f>
        <v>2.3788588032827736E-2</v>
      </c>
    </row>
    <row r="78" spans="1:4">
      <c r="A78" s="61"/>
      <c r="B78" s="24" t="s">
        <v>8</v>
      </c>
      <c r="C78" s="2">
        <f>C76+C77</f>
        <v>27462.490907813008</v>
      </c>
      <c r="D78" s="2">
        <f>D76+D77</f>
        <v>0.49956034868938254</v>
      </c>
    </row>
    <row r="79" spans="1:4">
      <c r="A79" s="61"/>
      <c r="B79" s="24" t="s">
        <v>10</v>
      </c>
      <c r="C79" s="2">
        <f>C78*6/100</f>
        <v>1647.7494544687804</v>
      </c>
      <c r="D79" s="2">
        <f>D78*6/100</f>
        <v>2.9973620921362954E-2</v>
      </c>
    </row>
    <row r="80" spans="1:4">
      <c r="A80" s="61"/>
      <c r="B80" s="24" t="s">
        <v>8</v>
      </c>
      <c r="C80" s="2">
        <f>C78+C79</f>
        <v>29110.240362281787</v>
      </c>
      <c r="D80" s="2">
        <f>D78+D79</f>
        <v>0.5295339696107455</v>
      </c>
    </row>
    <row r="81" spans="1:4">
      <c r="A81" s="61"/>
      <c r="B81" s="5" t="s">
        <v>11</v>
      </c>
      <c r="C81" s="2">
        <f>C80*4/100</f>
        <v>1164.4096144912714</v>
      </c>
      <c r="D81" s="2">
        <f>D80*4/100</f>
        <v>2.1181358784429821E-2</v>
      </c>
    </row>
    <row r="82" spans="1:4">
      <c r="A82" s="61"/>
      <c r="B82" s="5" t="s">
        <v>8</v>
      </c>
      <c r="C82" s="2">
        <f>C80+C81</f>
        <v>30274.64997677306</v>
      </c>
      <c r="D82" s="2">
        <f>D80+D81</f>
        <v>0.55071532839517534</v>
      </c>
    </row>
    <row r="83" spans="1:4" ht="30.75" customHeight="1">
      <c r="A83" s="61" t="s">
        <v>56</v>
      </c>
      <c r="B83" s="28" t="s">
        <v>43</v>
      </c>
      <c r="C83" s="2">
        <f>C93</f>
        <v>183539.62268239507</v>
      </c>
      <c r="D83" s="2">
        <f>D93</f>
        <v>3.3387036235467509</v>
      </c>
    </row>
    <row r="84" spans="1:4">
      <c r="A84" s="61"/>
      <c r="B84" s="24" t="s">
        <v>13</v>
      </c>
      <c r="C84" s="2">
        <f>(1395324.48+0.3*298665.6)/56146.82*D11</f>
        <v>121157.36774794369</v>
      </c>
      <c r="D84" s="2">
        <f>C84/D11/12</f>
        <v>2.2039303383521989</v>
      </c>
    </row>
    <row r="85" spans="1:4" ht="28.5">
      <c r="A85" s="61"/>
      <c r="B85" s="27" t="s">
        <v>5</v>
      </c>
      <c r="C85" s="2">
        <f>C84*0.302</f>
        <v>36589.525059878993</v>
      </c>
      <c r="D85" s="2">
        <f>D84*0.302</f>
        <v>0.66558696218236402</v>
      </c>
    </row>
    <row r="86" spans="1:4">
      <c r="A86" s="61"/>
      <c r="B86" s="24" t="s">
        <v>6</v>
      </c>
      <c r="C86" s="13">
        <f>10000/56146.82*D11</f>
        <v>815.9161997064125</v>
      </c>
      <c r="D86" s="2">
        <f>C86/D11/12</f>
        <v>1.4842039733208993E-2</v>
      </c>
    </row>
    <row r="87" spans="1:4">
      <c r="A87" s="61"/>
      <c r="B87" s="24" t="s">
        <v>15</v>
      </c>
      <c r="C87" s="2">
        <f>C84+C85+C86</f>
        <v>158562.80900752908</v>
      </c>
      <c r="D87" s="2">
        <f>D84+D85+D86</f>
        <v>2.8843593402677716</v>
      </c>
    </row>
    <row r="88" spans="1:4">
      <c r="A88" s="61"/>
      <c r="B88" s="3" t="s">
        <v>9</v>
      </c>
      <c r="C88" s="2">
        <f>C87*5/100</f>
        <v>7928.1404503764534</v>
      </c>
      <c r="D88" s="2">
        <f>D87*5/100</f>
        <v>0.14421796701338857</v>
      </c>
    </row>
    <row r="89" spans="1:4">
      <c r="A89" s="61"/>
      <c r="B89" s="24" t="s">
        <v>8</v>
      </c>
      <c r="C89" s="2">
        <f>C87+C88</f>
        <v>166490.94945790555</v>
      </c>
      <c r="D89" s="2">
        <f>D87+D88</f>
        <v>3.0285773072811604</v>
      </c>
    </row>
    <row r="90" spans="1:4">
      <c r="A90" s="61"/>
      <c r="B90" s="24" t="s">
        <v>10</v>
      </c>
      <c r="C90" s="2">
        <f>C89*6/100</f>
        <v>9989.4569674743325</v>
      </c>
      <c r="D90" s="2">
        <f>D89*6/100</f>
        <v>0.18171463843686961</v>
      </c>
    </row>
    <row r="91" spans="1:4">
      <c r="A91" s="61"/>
      <c r="B91" s="24" t="s">
        <v>8</v>
      </c>
      <c r="C91" s="2">
        <f>C89+C90</f>
        <v>176480.40642537989</v>
      </c>
      <c r="D91" s="2">
        <f>D89+D90</f>
        <v>3.2102919457180299</v>
      </c>
    </row>
    <row r="92" spans="1:4">
      <c r="A92" s="61"/>
      <c r="B92" s="5" t="s">
        <v>11</v>
      </c>
      <c r="C92" s="2">
        <f>C91*4/100</f>
        <v>7059.2162570151959</v>
      </c>
      <c r="D92" s="2">
        <f>D91*4/100</f>
        <v>0.1284116778287212</v>
      </c>
    </row>
    <row r="93" spans="1:4">
      <c r="A93" s="61"/>
      <c r="B93" s="5" t="s">
        <v>8</v>
      </c>
      <c r="C93" s="2">
        <f>C91+C92</f>
        <v>183539.62268239507</v>
      </c>
      <c r="D93" s="2">
        <f>D91+D92</f>
        <v>3.3387036235467509</v>
      </c>
    </row>
    <row r="94" spans="1:4" ht="31.5">
      <c r="A94" s="61" t="s">
        <v>57</v>
      </c>
      <c r="B94" s="28" t="s">
        <v>44</v>
      </c>
      <c r="C94" s="23">
        <f>C101</f>
        <v>100009.728</v>
      </c>
      <c r="D94" s="23">
        <f>D101</f>
        <v>1.8192411882709649</v>
      </c>
    </row>
    <row r="95" spans="1:4">
      <c r="A95" s="61"/>
      <c r="B95" s="3" t="s">
        <v>16</v>
      </c>
      <c r="C95" s="13">
        <f>160*180*3</f>
        <v>86400</v>
      </c>
      <c r="D95" s="2">
        <f>C95/D11/12</f>
        <v>1.5716714944631323</v>
      </c>
    </row>
    <row r="96" spans="1:4">
      <c r="A96" s="61"/>
      <c r="B96" s="3" t="s">
        <v>9</v>
      </c>
      <c r="C96" s="2">
        <f>C95*5/100</f>
        <v>4320</v>
      </c>
      <c r="D96" s="2">
        <f>D95*5/100</f>
        <v>7.8583574723156607E-2</v>
      </c>
    </row>
    <row r="97" spans="1:7">
      <c r="A97" s="61"/>
      <c r="B97" s="24" t="s">
        <v>8</v>
      </c>
      <c r="C97" s="2">
        <f>C95+C96</f>
        <v>90720</v>
      </c>
      <c r="D97" s="2">
        <f>D95+D96</f>
        <v>1.6502550691862889</v>
      </c>
    </row>
    <row r="98" spans="1:7">
      <c r="A98" s="61"/>
      <c r="B98" s="24" t="s">
        <v>10</v>
      </c>
      <c r="C98" s="2">
        <f>C97*6/100</f>
        <v>5443.2</v>
      </c>
      <c r="D98" s="2">
        <f>D97*6/100</f>
        <v>9.9015304151177333E-2</v>
      </c>
    </row>
    <row r="99" spans="1:7">
      <c r="A99" s="61"/>
      <c r="B99" s="24" t="s">
        <v>8</v>
      </c>
      <c r="C99" s="2">
        <f>C97+C98</f>
        <v>96163.199999999997</v>
      </c>
      <c r="D99" s="2">
        <f>D97+D98</f>
        <v>1.7492703733374664</v>
      </c>
    </row>
    <row r="100" spans="1:7">
      <c r="A100" s="61"/>
      <c r="B100" s="5" t="s">
        <v>11</v>
      </c>
      <c r="C100" s="2">
        <f>C99*4/100</f>
        <v>3846.5279999999998</v>
      </c>
      <c r="D100" s="2">
        <f>D99*4/100</f>
        <v>6.997081493349866E-2</v>
      </c>
    </row>
    <row r="101" spans="1:7">
      <c r="A101" s="61"/>
      <c r="B101" s="5" t="s">
        <v>8</v>
      </c>
      <c r="C101" s="2">
        <f>C99+C100</f>
        <v>100009.728</v>
      </c>
      <c r="D101" s="2">
        <f>D99+D100</f>
        <v>1.8192411882709649</v>
      </c>
    </row>
    <row r="102" spans="1:7" ht="31.5">
      <c r="A102" s="61" t="s">
        <v>58</v>
      </c>
      <c r="B102" s="28" t="s">
        <v>88</v>
      </c>
      <c r="C102" s="13">
        <v>0</v>
      </c>
      <c r="D102" s="13">
        <v>0</v>
      </c>
    </row>
    <row r="103" spans="1:7" ht="29.25">
      <c r="A103" s="37" t="s">
        <v>42</v>
      </c>
      <c r="B103" s="22" t="s">
        <v>59</v>
      </c>
      <c r="C103" s="23">
        <f>C115+C127</f>
        <v>167639.620924474</v>
      </c>
      <c r="D103" s="23">
        <f>D115+D127</f>
        <v>3.0494723790463092</v>
      </c>
    </row>
    <row r="104" spans="1:7" ht="28.5">
      <c r="A104" s="61" t="s">
        <v>61</v>
      </c>
      <c r="B104" s="24" t="s">
        <v>60</v>
      </c>
      <c r="C104" s="25">
        <f>C115</f>
        <v>39160.199689228801</v>
      </c>
      <c r="D104" s="2">
        <f>D115</f>
        <v>0.71234918482690901</v>
      </c>
    </row>
    <row r="105" spans="1:7">
      <c r="A105" s="61"/>
      <c r="B105" s="26" t="s">
        <v>4</v>
      </c>
      <c r="C105" s="33">
        <f>192*91.16</f>
        <v>17502.72</v>
      </c>
      <c r="D105" s="2">
        <f>C105/D11/12</f>
        <v>0.31838571874502036</v>
      </c>
      <c r="G105" s="17"/>
    </row>
    <row r="106" spans="1:7" ht="28.5">
      <c r="A106" s="61"/>
      <c r="B106" s="27" t="s">
        <v>5</v>
      </c>
      <c r="C106" s="2">
        <f>C105*0.302</f>
        <v>5285.8214400000006</v>
      </c>
      <c r="D106" s="2">
        <f>C106/D11/12</f>
        <v>9.6152487060996161E-2</v>
      </c>
    </row>
    <row r="107" spans="1:7">
      <c r="A107" s="61"/>
      <c r="B107" s="24" t="s">
        <v>6</v>
      </c>
      <c r="C107" s="33">
        <f>982*8.19</f>
        <v>8042.58</v>
      </c>
      <c r="D107" s="2">
        <f>C107/D11/12</f>
        <v>0.14629969592522338</v>
      </c>
    </row>
    <row r="108" spans="1:7">
      <c r="A108" s="61"/>
      <c r="B108" s="3" t="s">
        <v>7</v>
      </c>
      <c r="C108" s="13">
        <f>600*5</f>
        <v>3000</v>
      </c>
      <c r="D108" s="2">
        <f>C108/D11/12</f>
        <v>5.4571926891080987E-2</v>
      </c>
    </row>
    <row r="109" spans="1:7">
      <c r="A109" s="61"/>
      <c r="B109" s="24" t="s">
        <v>8</v>
      </c>
      <c r="C109" s="2">
        <f>C105+C106+C107+C108</f>
        <v>33831.121440000003</v>
      </c>
      <c r="D109" s="2">
        <f>D105+D106+D107+D108</f>
        <v>0.61540982862232096</v>
      </c>
    </row>
    <row r="110" spans="1:7">
      <c r="A110" s="61"/>
      <c r="B110" s="3" t="s">
        <v>9</v>
      </c>
      <c r="C110" s="2">
        <f>C109*5/100</f>
        <v>1691.5560720000003</v>
      </c>
      <c r="D110" s="2">
        <f>C110/D11/12</f>
        <v>3.0770491431116046E-2</v>
      </c>
    </row>
    <row r="111" spans="1:7">
      <c r="A111" s="61"/>
      <c r="B111" s="24" t="s">
        <v>8</v>
      </c>
      <c r="C111" s="2">
        <f>C109+C110</f>
        <v>35522.677512000002</v>
      </c>
      <c r="D111" s="2">
        <f>D109+D110</f>
        <v>0.64618032005343706</v>
      </c>
    </row>
    <row r="112" spans="1:7">
      <c r="A112" s="61"/>
      <c r="B112" s="24" t="s">
        <v>10</v>
      </c>
      <c r="C112" s="2">
        <f>C111*6/100</f>
        <v>2131.3606507200002</v>
      </c>
      <c r="D112" s="2">
        <f>C112/D11/12</f>
        <v>3.8770819203206221E-2</v>
      </c>
    </row>
    <row r="113" spans="1:6">
      <c r="A113" s="61"/>
      <c r="B113" s="24" t="s">
        <v>8</v>
      </c>
      <c r="C113" s="2">
        <f>C111+C112</f>
        <v>37654.038162720004</v>
      </c>
      <c r="D113" s="2">
        <f>D111+D112</f>
        <v>0.6849511392566433</v>
      </c>
    </row>
    <row r="114" spans="1:6">
      <c r="A114" s="61"/>
      <c r="B114" s="5" t="s">
        <v>11</v>
      </c>
      <c r="C114" s="2">
        <f>C113*4/100</f>
        <v>1506.1615265088001</v>
      </c>
      <c r="D114" s="2">
        <f>C114/D11/12</f>
        <v>2.7398045570265723E-2</v>
      </c>
    </row>
    <row r="115" spans="1:6">
      <c r="A115" s="61"/>
      <c r="B115" s="5" t="s">
        <v>8</v>
      </c>
      <c r="C115" s="2">
        <f>C113+C114</f>
        <v>39160.199689228801</v>
      </c>
      <c r="D115" s="2">
        <f>D113+D114</f>
        <v>0.71234918482690901</v>
      </c>
    </row>
    <row r="116" spans="1:6" ht="30.75" customHeight="1">
      <c r="A116" s="61" t="s">
        <v>62</v>
      </c>
      <c r="B116" s="24" t="s">
        <v>63</v>
      </c>
      <c r="C116" s="2">
        <f>C127</f>
        <v>128479.4212352452</v>
      </c>
      <c r="D116" s="2">
        <f>D127</f>
        <v>2.3371231942194002</v>
      </c>
    </row>
    <row r="117" spans="1:6">
      <c r="A117" s="61"/>
      <c r="B117" s="26" t="s">
        <v>4</v>
      </c>
      <c r="C117" s="13">
        <f>2653.5*29.52</f>
        <v>78331.319999999992</v>
      </c>
      <c r="D117" s="2">
        <f>C117/D11/12</f>
        <v>1.4248970227739566</v>
      </c>
    </row>
    <row r="118" spans="1:6" ht="28.5">
      <c r="A118" s="61"/>
      <c r="B118" s="27" t="s">
        <v>5</v>
      </c>
      <c r="C118" s="2">
        <f>C117*0.302</f>
        <v>23656.058639999996</v>
      </c>
      <c r="D118" s="2">
        <f>C118/D11/12</f>
        <v>0.43031890087773483</v>
      </c>
    </row>
    <row r="119" spans="1:6">
      <c r="A119" s="61"/>
      <c r="B119" s="24" t="s">
        <v>6</v>
      </c>
      <c r="C119" s="13">
        <f>2653.5*1.91</f>
        <v>5068.1849999999995</v>
      </c>
      <c r="D119" s="2">
        <f>C119/D11/12</f>
        <v>9.2193540430157761E-2</v>
      </c>
    </row>
    <row r="120" spans="1:6">
      <c r="A120" s="61"/>
      <c r="B120" s="3" t="s">
        <v>12</v>
      </c>
      <c r="C120" s="13">
        <f>(64000+12000)/51186.1*2653.5</f>
        <v>3939.8586725693108</v>
      </c>
      <c r="D120" s="2">
        <f>C120/D11/12</f>
        <v>7.166855981354793E-2</v>
      </c>
    </row>
    <row r="121" spans="1:6">
      <c r="A121" s="61"/>
      <c r="B121" s="24" t="s">
        <v>8</v>
      </c>
      <c r="C121" s="2">
        <f>C117+C118+C119+C120</f>
        <v>110995.4223125693</v>
      </c>
      <c r="D121" s="2">
        <f>D117+D118+D119+D120</f>
        <v>2.0190780238953971</v>
      </c>
    </row>
    <row r="122" spans="1:6">
      <c r="A122" s="61"/>
      <c r="B122" s="3" t="s">
        <v>9</v>
      </c>
      <c r="C122" s="2">
        <f>C121*5/100</f>
        <v>5549.7711156284649</v>
      </c>
      <c r="D122" s="2">
        <f>C122/D11/12</f>
        <v>0.10095390119476984</v>
      </c>
    </row>
    <row r="123" spans="1:6">
      <c r="A123" s="61"/>
      <c r="B123" s="24" t="s">
        <v>8</v>
      </c>
      <c r="C123" s="2">
        <f>C121+C122</f>
        <v>116545.19342819776</v>
      </c>
      <c r="D123" s="2">
        <f>D121+D122</f>
        <v>2.1200319250901671</v>
      </c>
    </row>
    <row r="124" spans="1:6">
      <c r="A124" s="61"/>
      <c r="B124" s="24" t="s">
        <v>10</v>
      </c>
      <c r="C124" s="2">
        <f>C123*6/100</f>
        <v>6992.7116056918658</v>
      </c>
      <c r="D124" s="2">
        <f>C124/D11/12</f>
        <v>0.12720191550541002</v>
      </c>
    </row>
    <row r="125" spans="1:6">
      <c r="A125" s="61"/>
      <c r="B125" s="24" t="s">
        <v>8</v>
      </c>
      <c r="C125" s="2">
        <f>C123+C124</f>
        <v>123537.90503388962</v>
      </c>
      <c r="D125" s="2">
        <f>D123+D124</f>
        <v>2.2472338405955772</v>
      </c>
    </row>
    <row r="126" spans="1:6">
      <c r="A126" s="61"/>
      <c r="B126" s="5" t="s">
        <v>11</v>
      </c>
      <c r="C126" s="2">
        <f>C125*4/100</f>
        <v>4941.5162013555846</v>
      </c>
      <c r="D126" s="2">
        <f>C126/D11/12</f>
        <v>8.9889353623823068E-2</v>
      </c>
    </row>
    <row r="127" spans="1:6">
      <c r="A127" s="61"/>
      <c r="B127" s="5" t="s">
        <v>8</v>
      </c>
      <c r="C127" s="2">
        <f>C125+C126</f>
        <v>128479.4212352452</v>
      </c>
      <c r="D127" s="2">
        <f>D125+D126</f>
        <v>2.3371231942194002</v>
      </c>
    </row>
    <row r="128" spans="1:6" ht="44.25" customHeight="1">
      <c r="A128" s="42" t="s">
        <v>64</v>
      </c>
      <c r="B128" s="5" t="s">
        <v>65</v>
      </c>
      <c r="C128" s="4">
        <f>C132+C140+C136</f>
        <v>4180.4871680000006</v>
      </c>
      <c r="D128" s="4">
        <f>D132+D140+D136</f>
        <v>7.6045746700399403E-2</v>
      </c>
      <c r="F128" s="17"/>
    </row>
    <row r="129" spans="1:5">
      <c r="A129" s="61" t="s">
        <v>35</v>
      </c>
      <c r="B129" s="5" t="s">
        <v>133</v>
      </c>
      <c r="C129" s="46"/>
      <c r="D129" s="4"/>
    </row>
    <row r="130" spans="1:5">
      <c r="A130" s="61"/>
      <c r="B130" s="24" t="s">
        <v>10</v>
      </c>
      <c r="C130" s="2">
        <f>8607.03*6/100</f>
        <v>516.42180000000008</v>
      </c>
      <c r="D130" s="2">
        <f>C130/12/D11</f>
        <v>9.3940442381868182E-3</v>
      </c>
    </row>
    <row r="131" spans="1:5">
      <c r="A131" s="61"/>
      <c r="B131" s="5" t="s">
        <v>11</v>
      </c>
      <c r="C131" s="2">
        <f>(8607.03+C130)*4/100</f>
        <v>364.93807200000003</v>
      </c>
      <c r="D131" s="2">
        <f>C131/12/D11</f>
        <v>6.6384579283186836E-3</v>
      </c>
    </row>
    <row r="132" spans="1:5">
      <c r="A132" s="61"/>
      <c r="B132" s="5" t="s">
        <v>8</v>
      </c>
      <c r="C132" s="2">
        <f>C130+C131</f>
        <v>881.35987200000011</v>
      </c>
      <c r="D132" s="2">
        <f>D130+D131</f>
        <v>1.6032502166505501E-2</v>
      </c>
    </row>
    <row r="133" spans="1:5">
      <c r="A133" s="61" t="s">
        <v>36</v>
      </c>
      <c r="B133" s="5" t="s">
        <v>134</v>
      </c>
      <c r="C133" s="46"/>
      <c r="D133" s="4"/>
    </row>
    <row r="134" spans="1:5">
      <c r="A134" s="61"/>
      <c r="B134" s="24" t="s">
        <v>10</v>
      </c>
      <c r="C134" s="2">
        <f>7621.89*6/100</f>
        <v>457.31340000000006</v>
      </c>
      <c r="D134" s="2">
        <f>C134/12/D11</f>
        <v>8.3188244770372264E-3</v>
      </c>
    </row>
    <row r="135" spans="1:5">
      <c r="A135" s="61"/>
      <c r="B135" s="5" t="s">
        <v>11</v>
      </c>
      <c r="C135" s="2">
        <f>(7621.89+C134)*4/100</f>
        <v>323.168136</v>
      </c>
      <c r="D135" s="2">
        <f>C135/12/D11</f>
        <v>5.8786359637729721E-3</v>
      </c>
    </row>
    <row r="136" spans="1:5">
      <c r="A136" s="65"/>
      <c r="B136" s="5" t="s">
        <v>8</v>
      </c>
      <c r="C136" s="2">
        <f t="shared" ref="C136:D136" si="0">C134+C135</f>
        <v>780.48153600000001</v>
      </c>
      <c r="D136" s="2">
        <f t="shared" si="0"/>
        <v>1.4197460440810199E-2</v>
      </c>
    </row>
    <row r="137" spans="1:5">
      <c r="A137" s="61" t="s">
        <v>42</v>
      </c>
      <c r="B137" s="5" t="s">
        <v>135</v>
      </c>
      <c r="C137" s="46"/>
      <c r="D137" s="4"/>
    </row>
    <row r="138" spans="1:5">
      <c r="A138" s="61"/>
      <c r="B138" s="24" t="s">
        <v>10</v>
      </c>
      <c r="C138" s="2">
        <f>24596.15*6/100</f>
        <v>1475.7690000000002</v>
      </c>
      <c r="D138" s="2">
        <f>C138/12/D11</f>
        <v>2.6845185992041234E-2</v>
      </c>
    </row>
    <row r="139" spans="1:5">
      <c r="A139" s="61"/>
      <c r="B139" s="5" t="s">
        <v>11</v>
      </c>
      <c r="C139" s="2">
        <f>(24596.15+C138)*4/100</f>
        <v>1042.8767600000001</v>
      </c>
      <c r="D139" s="2">
        <f>C139/12/D11</f>
        <v>1.8970598101042475E-2</v>
      </c>
    </row>
    <row r="140" spans="1:5">
      <c r="A140" s="61"/>
      <c r="B140" s="5" t="s">
        <v>8</v>
      </c>
      <c r="C140" s="2">
        <f t="shared" ref="C140:D140" si="1">C138+C139</f>
        <v>2518.6457600000003</v>
      </c>
      <c r="D140" s="2">
        <f t="shared" si="1"/>
        <v>4.5815784093083706E-2</v>
      </c>
    </row>
    <row r="141" spans="1:5">
      <c r="A141" s="61"/>
      <c r="B141" s="6" t="s">
        <v>30</v>
      </c>
      <c r="C141" s="2">
        <f>C12+C47+C128</f>
        <v>1081312.8064048199</v>
      </c>
      <c r="D141" s="2">
        <f>D12+D47+D128</f>
        <v>19.669774472504475</v>
      </c>
      <c r="E141" s="17"/>
    </row>
    <row r="142" spans="1:5" ht="28.5">
      <c r="A142" s="42" t="s">
        <v>66</v>
      </c>
      <c r="B142" s="24" t="s">
        <v>97</v>
      </c>
      <c r="C142" s="2">
        <f>D142*D11*12</f>
        <v>109946.63999999998</v>
      </c>
      <c r="D142" s="29">
        <v>2</v>
      </c>
    </row>
    <row r="143" spans="1:5">
      <c r="A143" s="61"/>
      <c r="B143" s="41" t="s">
        <v>71</v>
      </c>
      <c r="C143" s="2">
        <f>C141+C142</f>
        <v>1191259.4464048198</v>
      </c>
      <c r="D143" s="2">
        <f>D141+D142</f>
        <v>21.669774472504475</v>
      </c>
    </row>
    <row r="144" spans="1:5">
      <c r="A144" s="42" t="s">
        <v>72</v>
      </c>
      <c r="B144" s="3" t="s">
        <v>73</v>
      </c>
      <c r="C144" s="2">
        <f>D144*12*D11</f>
        <v>164919.96</v>
      </c>
      <c r="D144" s="2">
        <v>3</v>
      </c>
    </row>
    <row r="146" spans="2:4">
      <c r="B146" s="8"/>
      <c r="C146" s="15"/>
      <c r="D146" s="8"/>
    </row>
    <row r="147" spans="2:4">
      <c r="B147" s="9" t="s">
        <v>75</v>
      </c>
      <c r="C147" s="16"/>
      <c r="D147" s="10"/>
    </row>
    <row r="148" spans="2:4" ht="15.75">
      <c r="B148" s="30" t="s">
        <v>47</v>
      </c>
      <c r="C148" s="31"/>
      <c r="D148" s="30"/>
    </row>
    <row r="149" spans="2:4" ht="15.75">
      <c r="B149" s="30"/>
      <c r="C149" s="31"/>
      <c r="D149" s="30"/>
    </row>
    <row r="150" spans="2:4">
      <c r="B150" s="72" t="s">
        <v>31</v>
      </c>
      <c r="C150" s="72"/>
      <c r="D150" s="72"/>
    </row>
    <row r="151" spans="2:4" ht="15.75">
      <c r="B151" s="30"/>
      <c r="C151" s="31"/>
      <c r="D151" s="30"/>
    </row>
  </sheetData>
  <mergeCells count="11">
    <mergeCell ref="A9:A10"/>
    <mergeCell ref="B9:B10"/>
    <mergeCell ref="C9:C10"/>
    <mergeCell ref="D9:D10"/>
    <mergeCell ref="B150:D150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0"/>
  <sheetViews>
    <sheetView zoomScale="130" zoomScaleNormal="130" workbookViewId="0">
      <selection activeCell="C139" sqref="C139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85</v>
      </c>
      <c r="C7" s="66"/>
      <c r="D7" s="66"/>
    </row>
    <row r="8" spans="1:6" ht="8.25" customHeight="1">
      <c r="B8" s="58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59"/>
      <c r="B11" s="22" t="s">
        <v>53</v>
      </c>
      <c r="C11" s="2"/>
      <c r="D11" s="2">
        <v>3467.27</v>
      </c>
    </row>
    <row r="12" spans="1:6">
      <c r="A12" s="42" t="s">
        <v>51</v>
      </c>
      <c r="B12" s="24" t="s">
        <v>52</v>
      </c>
      <c r="C12" s="2">
        <f>C13+C24+C43</f>
        <v>282985.57854971243</v>
      </c>
      <c r="D12" s="2">
        <f>D13+D24+D43</f>
        <v>6.8045939526384585</v>
      </c>
    </row>
    <row r="13" spans="1:6">
      <c r="A13" s="59" t="s">
        <v>35</v>
      </c>
      <c r="B13" s="24" t="s">
        <v>70</v>
      </c>
      <c r="C13" s="2">
        <f>C23</f>
        <v>179077.32576794503</v>
      </c>
      <c r="D13" s="2">
        <f>D23</f>
        <v>4.3072340512903411</v>
      </c>
      <c r="F13" s="17"/>
    </row>
    <row r="14" spans="1:6">
      <c r="A14" s="59"/>
      <c r="B14" s="24" t="s">
        <v>13</v>
      </c>
      <c r="C14" s="13">
        <f>((2363756.52+40177.8)/56146.82*D11)-32000</f>
        <v>116451.67276982739</v>
      </c>
      <c r="D14" s="13">
        <f>C14/D11/12</f>
        <v>2.7988319525598762</v>
      </c>
    </row>
    <row r="15" spans="1:6" ht="28.5">
      <c r="A15" s="59"/>
      <c r="B15" s="27" t="s">
        <v>5</v>
      </c>
      <c r="C15" s="2">
        <f>C14*0.302</f>
        <v>35168.405176487868</v>
      </c>
      <c r="D15" s="2">
        <f>D14*0.303</f>
        <v>0.84804608162564243</v>
      </c>
    </row>
    <row r="16" spans="1:6">
      <c r="A16" s="59"/>
      <c r="B16" s="24" t="s">
        <v>6</v>
      </c>
      <c r="C16" s="14">
        <f>50000/56146.82*D11</f>
        <v>3087.6815463458129</v>
      </c>
      <c r="D16" s="2">
        <f>C16/D11/12</f>
        <v>7.421019866604496E-2</v>
      </c>
    </row>
    <row r="17" spans="1:4">
      <c r="A17" s="59"/>
      <c r="B17" s="24" t="s">
        <v>8</v>
      </c>
      <c r="C17" s="2">
        <f>C14+C15+C16</f>
        <v>154707.75949266108</v>
      </c>
      <c r="D17" s="2">
        <f>D14+D15+D16</f>
        <v>3.7210882328515633</v>
      </c>
    </row>
    <row r="18" spans="1:4">
      <c r="A18" s="59"/>
      <c r="B18" s="3" t="s">
        <v>9</v>
      </c>
      <c r="C18" s="2">
        <f>C17*5/100</f>
        <v>7735.387974633054</v>
      </c>
      <c r="D18" s="2">
        <f>D17*5/100</f>
        <v>0.18605441164257816</v>
      </c>
    </row>
    <row r="19" spans="1:4">
      <c r="A19" s="59"/>
      <c r="B19" s="24" t="s">
        <v>8</v>
      </c>
      <c r="C19" s="2">
        <f>C17+C18</f>
        <v>162443.14746729413</v>
      </c>
      <c r="D19" s="2">
        <f>D17+D18</f>
        <v>3.9071426444941415</v>
      </c>
    </row>
    <row r="20" spans="1:4">
      <c r="A20" s="59"/>
      <c r="B20" s="24" t="s">
        <v>10</v>
      </c>
      <c r="C20" s="2">
        <f>C19*6/100</f>
        <v>9746.588848037647</v>
      </c>
      <c r="D20" s="2">
        <f>D19*6/100</f>
        <v>0.23442855866964848</v>
      </c>
    </row>
    <row r="21" spans="1:4">
      <c r="A21" s="59"/>
      <c r="B21" s="24" t="s">
        <v>8</v>
      </c>
      <c r="C21" s="2">
        <f>C19+C20</f>
        <v>172189.73631533177</v>
      </c>
      <c r="D21" s="2">
        <f>D19+D20</f>
        <v>4.1415712031637897</v>
      </c>
    </row>
    <row r="22" spans="1:4">
      <c r="A22" s="59"/>
      <c r="B22" s="5" t="s">
        <v>11</v>
      </c>
      <c r="C22" s="2">
        <f>C21*4/100</f>
        <v>6887.5894526132706</v>
      </c>
      <c r="D22" s="2">
        <f>D21*4/100</f>
        <v>0.16566284812655158</v>
      </c>
    </row>
    <row r="23" spans="1:4">
      <c r="A23" s="59"/>
      <c r="B23" s="5" t="s">
        <v>8</v>
      </c>
      <c r="C23" s="2">
        <f>C21+C22</f>
        <v>179077.32576794503</v>
      </c>
      <c r="D23" s="2">
        <f>D21+D22</f>
        <v>4.3072340512903411</v>
      </c>
    </row>
    <row r="24" spans="1:4">
      <c r="A24" s="59" t="s">
        <v>36</v>
      </c>
      <c r="B24" s="24" t="s">
        <v>69</v>
      </c>
      <c r="C24" s="2">
        <f>C42</f>
        <v>85087.902781767436</v>
      </c>
      <c r="D24" s="2">
        <f>D42</f>
        <v>2.0450263651654716</v>
      </c>
    </row>
    <row r="25" spans="1:4">
      <c r="A25" s="59"/>
      <c r="B25" s="3" t="s">
        <v>17</v>
      </c>
      <c r="C25" s="2">
        <f>16000/56146.82*D11</f>
        <v>988.05809483066002</v>
      </c>
      <c r="D25" s="2">
        <f>C25/D11/12</f>
        <v>2.3747263573134388E-2</v>
      </c>
    </row>
    <row r="26" spans="1:4">
      <c r="A26" s="59"/>
      <c r="B26" s="3" t="s">
        <v>18</v>
      </c>
      <c r="C26" s="2">
        <f>((23200+5300)*12)/56146.82*D11</f>
        <v>21119.741777005358</v>
      </c>
      <c r="D26" s="2">
        <f>C26/D11/12</f>
        <v>0.50759775887574754</v>
      </c>
    </row>
    <row r="27" spans="1:4">
      <c r="A27" s="59"/>
      <c r="B27" s="3" t="s">
        <v>19</v>
      </c>
      <c r="C27" s="2">
        <f>26500*12/56146.82*D11</f>
        <v>19637.654634759368</v>
      </c>
      <c r="D27" s="2">
        <f>C27/D11/12</f>
        <v>0.47197686351604595</v>
      </c>
    </row>
    <row r="28" spans="1:4">
      <c r="A28" s="59"/>
      <c r="B28" s="3" t="s">
        <v>20</v>
      </c>
      <c r="C28" s="2">
        <f>45000/56146.82*D11</f>
        <v>2778.9133917112313</v>
      </c>
      <c r="D28" s="2">
        <f>C28/D11/12</f>
        <v>6.6789178799440463E-2</v>
      </c>
    </row>
    <row r="29" spans="1:4">
      <c r="A29" s="59"/>
      <c r="B29" s="3" t="s">
        <v>21</v>
      </c>
      <c r="C29" s="2">
        <f>56221.5/56146.82*D11</f>
        <v>3471.8817611576223</v>
      </c>
      <c r="D29" s="2">
        <f>C29/D11/12</f>
        <v>8.3444173686060941E-2</v>
      </c>
    </row>
    <row r="30" spans="1:4">
      <c r="A30" s="59"/>
      <c r="B30" s="3" t="s">
        <v>22</v>
      </c>
      <c r="C30" s="2">
        <f>80170.37/56146.82*D11</f>
        <v>4950.8114402543188</v>
      </c>
      <c r="D30" s="2">
        <f>C30/D11/12</f>
        <v>0.11898918169660662</v>
      </c>
    </row>
    <row r="31" spans="1:4">
      <c r="A31" s="59"/>
      <c r="B31" s="3" t="s">
        <v>23</v>
      </c>
      <c r="C31" s="2">
        <f>93800/56146.82*D11</f>
        <v>5792.4905809447446</v>
      </c>
      <c r="D31" s="2">
        <f>C31/D11/12</f>
        <v>0.13921833269750036</v>
      </c>
    </row>
    <row r="32" spans="1:4">
      <c r="A32" s="59"/>
      <c r="B32" s="3" t="s">
        <v>24</v>
      </c>
      <c r="C32" s="2">
        <f>7000/56146.82*D11</f>
        <v>432.27541648841378</v>
      </c>
      <c r="D32" s="2">
        <f>C32/D11/12</f>
        <v>1.0389427813246295E-2</v>
      </c>
    </row>
    <row r="33" spans="1:5">
      <c r="A33" s="59"/>
      <c r="B33" s="3" t="s">
        <v>25</v>
      </c>
      <c r="C33" s="2">
        <f>113064/56146.82*D11</f>
        <v>6982.1125271208593</v>
      </c>
      <c r="D33" s="2">
        <f>C33/D11/12</f>
        <v>0.16781003803955416</v>
      </c>
    </row>
    <row r="34" spans="1:5">
      <c r="A34" s="59"/>
      <c r="B34" s="3" t="s">
        <v>26</v>
      </c>
      <c r="C34" s="2">
        <f>84600/56146.82*D11</f>
        <v>5224.3571764171156</v>
      </c>
      <c r="D34" s="2">
        <f>C34/D11/12</f>
        <v>0.12556365614294809</v>
      </c>
    </row>
    <row r="35" spans="1:5">
      <c r="A35" s="59"/>
      <c r="B35" s="3" t="s">
        <v>27</v>
      </c>
      <c r="C35" s="2">
        <f>34500/56146.82*D11</f>
        <v>2130.5002669786109</v>
      </c>
      <c r="D35" s="2">
        <f>C35/D11/12</f>
        <v>5.1205037079571025E-2</v>
      </c>
    </row>
    <row r="36" spans="1:5">
      <c r="A36" s="59"/>
      <c r="B36" s="24" t="s">
        <v>8</v>
      </c>
      <c r="C36" s="2">
        <f>SUM(C25:C35)</f>
        <v>73508.797067668318</v>
      </c>
      <c r="D36" s="2">
        <f>SUM(D25:D35)</f>
        <v>1.766730911919856</v>
      </c>
    </row>
    <row r="37" spans="1:5">
      <c r="A37" s="59"/>
      <c r="B37" s="3" t="s">
        <v>9</v>
      </c>
      <c r="C37" s="2">
        <f>C36*5/100</f>
        <v>3675.4398533834155</v>
      </c>
      <c r="D37" s="2">
        <f>D36*5/100</f>
        <v>8.8336545595992799E-2</v>
      </c>
    </row>
    <row r="38" spans="1:5">
      <c r="A38" s="59"/>
      <c r="B38" s="24" t="s">
        <v>8</v>
      </c>
      <c r="C38" s="2">
        <f>C36+C37</f>
        <v>77184.236921051735</v>
      </c>
      <c r="D38" s="2">
        <f>D36+D37</f>
        <v>1.8550674575158488</v>
      </c>
    </row>
    <row r="39" spans="1:5">
      <c r="A39" s="59"/>
      <c r="B39" s="24" t="s">
        <v>10</v>
      </c>
      <c r="C39" s="2">
        <f>C38*6/100</f>
        <v>4631.0542152631042</v>
      </c>
      <c r="D39" s="2">
        <f>D38*6/100</f>
        <v>0.11130404745095092</v>
      </c>
    </row>
    <row r="40" spans="1:5">
      <c r="A40" s="59"/>
      <c r="B40" s="24" t="s">
        <v>8</v>
      </c>
      <c r="C40" s="2">
        <f>C38+C39</f>
        <v>81815.291136314845</v>
      </c>
      <c r="D40" s="2">
        <f>D38+D39</f>
        <v>1.9663715049667998</v>
      </c>
    </row>
    <row r="41" spans="1:5">
      <c r="A41" s="59"/>
      <c r="B41" s="5" t="s">
        <v>11</v>
      </c>
      <c r="C41" s="2">
        <f>C40*4/100</f>
        <v>3272.6116454525936</v>
      </c>
      <c r="D41" s="2">
        <f>D40*4/100</f>
        <v>7.8654860198671989E-2</v>
      </c>
    </row>
    <row r="42" spans="1:5">
      <c r="A42" s="59"/>
      <c r="B42" s="5" t="s">
        <v>8</v>
      </c>
      <c r="C42" s="2">
        <f>SUM(C40:C41)</f>
        <v>85087.902781767436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18820.349999999999</v>
      </c>
      <c r="D43" s="2">
        <f>D46</f>
        <v>0.4523335361826451</v>
      </c>
    </row>
    <row r="44" spans="1:5">
      <c r="A44" s="59"/>
      <c r="B44" s="5" t="s">
        <v>28</v>
      </c>
      <c r="C44" s="46">
        <v>16198.07</v>
      </c>
      <c r="D44" s="4">
        <f>C44/12/D11</f>
        <v>0.38930892796542138</v>
      </c>
    </row>
    <row r="45" spans="1:5" ht="19.5" customHeight="1">
      <c r="A45" s="59"/>
      <c r="B45" s="5" t="s">
        <v>29</v>
      </c>
      <c r="C45" s="46">
        <v>2622.28</v>
      </c>
      <c r="D45" s="4">
        <f>C45/12/D11</f>
        <v>6.3024608217223735E-2</v>
      </c>
    </row>
    <row r="46" spans="1:5">
      <c r="A46" s="59"/>
      <c r="B46" s="5" t="s">
        <v>8</v>
      </c>
      <c r="C46" s="4">
        <f>C44+C45</f>
        <v>18820.349999999999</v>
      </c>
      <c r="D46" s="4">
        <f>D44+D45</f>
        <v>0.4523335361826451</v>
      </c>
      <c r="E46" s="60"/>
    </row>
    <row r="47" spans="1:5">
      <c r="A47" s="42" t="s">
        <v>54</v>
      </c>
      <c r="B47" s="5" t="s">
        <v>55</v>
      </c>
      <c r="C47" s="2">
        <f>C48+C59+C102</f>
        <v>469873.46597816003</v>
      </c>
      <c r="D47" s="2">
        <f>D48+D59+D102</f>
        <v>11.293069811363601</v>
      </c>
    </row>
    <row r="48" spans="1:5" ht="47.25" customHeight="1">
      <c r="A48" s="59" t="s">
        <v>35</v>
      </c>
      <c r="B48" s="28" t="s">
        <v>46</v>
      </c>
      <c r="C48" s="4">
        <f>C58</f>
        <v>38397.978883786061</v>
      </c>
      <c r="D48" s="4">
        <f>D58</f>
        <v>0.92286772407364825</v>
      </c>
    </row>
    <row r="49" spans="1:7">
      <c r="A49" s="59"/>
      <c r="B49" s="24" t="s">
        <v>13</v>
      </c>
      <c r="C49" s="2">
        <f>(214308.36+159867.48)/56146.82*D11</f>
        <v>23106.716725128867</v>
      </c>
      <c r="D49" s="2">
        <f>C49/D11/12</f>
        <v>0.55535326844868504</v>
      </c>
    </row>
    <row r="50" spans="1:7">
      <c r="A50" s="59"/>
      <c r="B50" s="24" t="s">
        <v>14</v>
      </c>
      <c r="C50" s="2">
        <f>C49*0.302</f>
        <v>6978.2284509889178</v>
      </c>
      <c r="D50" s="2">
        <f>C50/D11/12</f>
        <v>0.16771668707150289</v>
      </c>
    </row>
    <row r="51" spans="1:7">
      <c r="A51" s="59"/>
      <c r="B51" s="24" t="s">
        <v>6</v>
      </c>
      <c r="C51" s="13">
        <f>50000/56146.82*D11</f>
        <v>3087.6815463458129</v>
      </c>
      <c r="D51" s="2">
        <f>C51/D11/12</f>
        <v>7.421019866604496E-2</v>
      </c>
    </row>
    <row r="52" spans="1:7">
      <c r="A52" s="59"/>
      <c r="B52" s="24" t="s">
        <v>8</v>
      </c>
      <c r="C52" s="2">
        <f>C49+C50+C51</f>
        <v>33172.626722463596</v>
      </c>
      <c r="D52" s="2">
        <f>D49+D50+D51</f>
        <v>0.79728015418623288</v>
      </c>
    </row>
    <row r="53" spans="1:7">
      <c r="A53" s="59"/>
      <c r="B53" s="3" t="s">
        <v>9</v>
      </c>
      <c r="C53" s="2">
        <f>C52*5/100</f>
        <v>1658.6313361231796</v>
      </c>
      <c r="D53" s="2">
        <f>D52*5/100</f>
        <v>3.9864007709311644E-2</v>
      </c>
    </row>
    <row r="54" spans="1:7">
      <c r="A54" s="59"/>
      <c r="B54" s="24" t="s">
        <v>8</v>
      </c>
      <c r="C54" s="2">
        <f>C52+C53</f>
        <v>34831.258058586776</v>
      </c>
      <c r="D54" s="2">
        <f>D52+D53</f>
        <v>0.83714416189554453</v>
      </c>
    </row>
    <row r="55" spans="1:7">
      <c r="A55" s="59"/>
      <c r="B55" s="24" t="s">
        <v>10</v>
      </c>
      <c r="C55" s="2">
        <f>C54*6/100</f>
        <v>2089.8754835152067</v>
      </c>
      <c r="D55" s="2">
        <f>D54*6/100</f>
        <v>5.022864971373267E-2</v>
      </c>
    </row>
    <row r="56" spans="1:7">
      <c r="A56" s="59"/>
      <c r="B56" s="24" t="s">
        <v>8</v>
      </c>
      <c r="C56" s="2">
        <f>C54+C55</f>
        <v>36921.133542101983</v>
      </c>
      <c r="D56" s="2">
        <f>D54+D55</f>
        <v>0.88737281160927717</v>
      </c>
    </row>
    <row r="57" spans="1:7">
      <c r="A57" s="59"/>
      <c r="B57" s="5" t="s">
        <v>11</v>
      </c>
      <c r="C57" s="2">
        <f>C56*4/100</f>
        <v>1476.8453416840794</v>
      </c>
      <c r="D57" s="2">
        <f>D56*4/100</f>
        <v>3.5494912464371087E-2</v>
      </c>
    </row>
    <row r="58" spans="1:7">
      <c r="A58" s="59"/>
      <c r="B58" s="5" t="s">
        <v>8</v>
      </c>
      <c r="C58" s="2">
        <f>C56+C57</f>
        <v>38397.978883786061</v>
      </c>
      <c r="D58" s="2">
        <f>D56+D57</f>
        <v>0.92286772407364825</v>
      </c>
    </row>
    <row r="59" spans="1:7" ht="63">
      <c r="A59" s="59" t="s">
        <v>36</v>
      </c>
      <c r="B59" s="28" t="s">
        <v>37</v>
      </c>
      <c r="C59" s="23">
        <f>C60+C71+C82+C93+C101</f>
        <v>259840.63094418863</v>
      </c>
      <c r="D59" s="23">
        <f>D60+D71+D82+D93+D101</f>
        <v>6.245082128595616</v>
      </c>
      <c r="G59" s="17"/>
    </row>
    <row r="60" spans="1:7">
      <c r="A60" s="59" t="s">
        <v>38</v>
      </c>
      <c r="B60" s="24" t="s">
        <v>40</v>
      </c>
      <c r="C60" s="2">
        <f>C70</f>
        <v>54258.387150192444</v>
      </c>
      <c r="D60" s="2">
        <f>D70</f>
        <v>1.3040611958445805</v>
      </c>
    </row>
    <row r="61" spans="1:7">
      <c r="A61" s="59"/>
      <c r="B61" s="24" t="s">
        <v>13</v>
      </c>
      <c r="C61" s="2">
        <f>(402940.32+0.5*298665.6)/56146.82*D11</f>
        <v>34104.870423336528</v>
      </c>
      <c r="D61" s="2">
        <f>C61/D11/12</f>
        <v>0.81968595906232977</v>
      </c>
    </row>
    <row r="62" spans="1:7">
      <c r="A62" s="59"/>
      <c r="B62" s="24" t="s">
        <v>14</v>
      </c>
      <c r="C62" s="2">
        <f>C61*0.302</f>
        <v>10299.670867847632</v>
      </c>
      <c r="D62" s="2">
        <f>C62/D11/12</f>
        <v>0.24754515963682358</v>
      </c>
    </row>
    <row r="63" spans="1:7">
      <c r="A63" s="59"/>
      <c r="B63" s="24" t="s">
        <v>6</v>
      </c>
      <c r="C63" s="13">
        <f>40000/56146.82*D11</f>
        <v>2470.1452370766501</v>
      </c>
      <c r="D63" s="2">
        <f>C63/D11/12</f>
        <v>5.9368158932835972E-2</v>
      </c>
    </row>
    <row r="64" spans="1:7">
      <c r="A64" s="59"/>
      <c r="B64" s="24" t="s">
        <v>8</v>
      </c>
      <c r="C64" s="2">
        <f>C61+C62+C63</f>
        <v>46874.686528260805</v>
      </c>
      <c r="D64" s="2">
        <f>D61+D62+D63</f>
        <v>1.1265992776319893</v>
      </c>
    </row>
    <row r="65" spans="1:4">
      <c r="A65" s="59"/>
      <c r="B65" s="3" t="s">
        <v>9</v>
      </c>
      <c r="C65" s="2">
        <f>C64*5/100</f>
        <v>2343.7343264130404</v>
      </c>
      <c r="D65" s="2">
        <f>D64*5/100</f>
        <v>5.6329963881599464E-2</v>
      </c>
    </row>
    <row r="66" spans="1:4">
      <c r="A66" s="59"/>
      <c r="B66" s="24" t="s">
        <v>8</v>
      </c>
      <c r="C66" s="2">
        <f>C64+C65</f>
        <v>49218.420854673845</v>
      </c>
      <c r="D66" s="2">
        <f>D64+D65</f>
        <v>1.1829292415135888</v>
      </c>
    </row>
    <row r="67" spans="1:4">
      <c r="A67" s="59"/>
      <c r="B67" s="24" t="s">
        <v>10</v>
      </c>
      <c r="C67" s="2">
        <f>C66*6/100</f>
        <v>2953.1052512804308</v>
      </c>
      <c r="D67" s="2">
        <f>D66*6/100</f>
        <v>7.0975754490815335E-2</v>
      </c>
    </row>
    <row r="68" spans="1:4">
      <c r="A68" s="59"/>
      <c r="B68" s="24" t="s">
        <v>8</v>
      </c>
      <c r="C68" s="2">
        <f>C66+C67</f>
        <v>52171.526105954275</v>
      </c>
      <c r="D68" s="2">
        <f>D66+D67</f>
        <v>1.2539049960044042</v>
      </c>
    </row>
    <row r="69" spans="1:4">
      <c r="A69" s="59"/>
      <c r="B69" s="5" t="s">
        <v>11</v>
      </c>
      <c r="C69" s="2">
        <f>C68*4/100</f>
        <v>2086.861044238171</v>
      </c>
      <c r="D69" s="2">
        <f>D68*4/100</f>
        <v>5.015619984017617E-2</v>
      </c>
    </row>
    <row r="70" spans="1:4">
      <c r="A70" s="59"/>
      <c r="B70" s="5" t="s">
        <v>8</v>
      </c>
      <c r="C70" s="2">
        <f>C68+C69</f>
        <v>54258.387150192444</v>
      </c>
      <c r="D70" s="2">
        <f>D68+D69</f>
        <v>1.3040611958445805</v>
      </c>
    </row>
    <row r="71" spans="1:4">
      <c r="A71" s="59" t="s">
        <v>39</v>
      </c>
      <c r="B71" s="24" t="s">
        <v>41</v>
      </c>
      <c r="C71" s="2">
        <f>C81</f>
        <v>22913.74484021687</v>
      </c>
      <c r="D71" s="2">
        <f>D81</f>
        <v>0.55071532839517534</v>
      </c>
    </row>
    <row r="72" spans="1:4">
      <c r="A72" s="59"/>
      <c r="B72" s="24" t="s">
        <v>13</v>
      </c>
      <c r="C72" s="2">
        <f>(171109.32+0.2*298665.6)/56146.82*D11</f>
        <v>14255.358842028809</v>
      </c>
      <c r="D72" s="2">
        <f>C72/D11/12</f>
        <v>0.34261726665909126</v>
      </c>
    </row>
    <row r="73" spans="1:4" ht="28.5">
      <c r="A73" s="59"/>
      <c r="B73" s="27" t="s">
        <v>5</v>
      </c>
      <c r="C73" s="2">
        <f>C72*0.302</f>
        <v>4305.1183702927001</v>
      </c>
      <c r="D73" s="2">
        <f>C73/D11/12</f>
        <v>0.10347041453104557</v>
      </c>
    </row>
    <row r="74" spans="1:4">
      <c r="A74" s="59"/>
      <c r="B74" s="24" t="s">
        <v>6</v>
      </c>
      <c r="C74" s="13">
        <f>20000/56146.82*D11</f>
        <v>1235.0726185383251</v>
      </c>
      <c r="D74" s="2">
        <f>C74/D11/12</f>
        <v>2.9684079466417986E-2</v>
      </c>
    </row>
    <row r="75" spans="1:4">
      <c r="A75" s="59"/>
      <c r="B75" s="24" t="s">
        <v>8</v>
      </c>
      <c r="C75" s="2">
        <f>C72+C73+C74</f>
        <v>19795.549830859833</v>
      </c>
      <c r="D75" s="2">
        <f>D72+D73+D74</f>
        <v>0.4757717606565548</v>
      </c>
    </row>
    <row r="76" spans="1:4">
      <c r="A76" s="59"/>
      <c r="B76" s="3" t="s">
        <v>9</v>
      </c>
      <c r="C76" s="2">
        <f>C75*5/100</f>
        <v>989.77749154299158</v>
      </c>
      <c r="D76" s="2">
        <f>D75*5/100</f>
        <v>2.3788588032827736E-2</v>
      </c>
    </row>
    <row r="77" spans="1:4">
      <c r="A77" s="59"/>
      <c r="B77" s="24" t="s">
        <v>8</v>
      </c>
      <c r="C77" s="2">
        <f>C75+C76</f>
        <v>20785.327322402823</v>
      </c>
      <c r="D77" s="2">
        <f>D75+D76</f>
        <v>0.49956034868938254</v>
      </c>
    </row>
    <row r="78" spans="1:4">
      <c r="A78" s="59"/>
      <c r="B78" s="24" t="s">
        <v>10</v>
      </c>
      <c r="C78" s="2">
        <f>C77*6/100</f>
        <v>1247.1196393441694</v>
      </c>
      <c r="D78" s="2">
        <f>D77*6/100</f>
        <v>2.9973620921362954E-2</v>
      </c>
    </row>
    <row r="79" spans="1:4">
      <c r="A79" s="59"/>
      <c r="B79" s="24" t="s">
        <v>8</v>
      </c>
      <c r="C79" s="2">
        <f>C77+C78</f>
        <v>22032.446961746991</v>
      </c>
      <c r="D79" s="2">
        <f>D77+D78</f>
        <v>0.5295339696107455</v>
      </c>
    </row>
    <row r="80" spans="1:4">
      <c r="A80" s="59"/>
      <c r="B80" s="5" t="s">
        <v>11</v>
      </c>
      <c r="C80" s="2">
        <f>C79*4/100</f>
        <v>881.29787846987961</v>
      </c>
      <c r="D80" s="2">
        <f>D79*4/100</f>
        <v>2.1181358784429821E-2</v>
      </c>
    </row>
    <row r="81" spans="1:4">
      <c r="A81" s="59"/>
      <c r="B81" s="5" t="s">
        <v>8</v>
      </c>
      <c r="C81" s="2">
        <f>C79+C80</f>
        <v>22913.74484021687</v>
      </c>
      <c r="D81" s="2">
        <f>D79+D80</f>
        <v>0.55071532839517534</v>
      </c>
    </row>
    <row r="82" spans="1:4" ht="30.75" customHeight="1">
      <c r="A82" s="59" t="s">
        <v>56</v>
      </c>
      <c r="B82" s="28" t="s">
        <v>43</v>
      </c>
      <c r="C82" s="2">
        <f>C92</f>
        <v>138914.24295377932</v>
      </c>
      <c r="D82" s="2">
        <f>D92</f>
        <v>3.3387036235467509</v>
      </c>
    </row>
    <row r="83" spans="1:4">
      <c r="A83" s="59"/>
      <c r="B83" s="24" t="s">
        <v>13</v>
      </c>
      <c r="C83" s="2">
        <f>(1395324.48+0.3*298665.6)/56146.82*D11</f>
        <v>91699.458531101132</v>
      </c>
      <c r="D83" s="2">
        <f>C83/D11/12</f>
        <v>2.2039303383521989</v>
      </c>
    </row>
    <row r="84" spans="1:4" ht="28.5">
      <c r="A84" s="59"/>
      <c r="B84" s="27" t="s">
        <v>5</v>
      </c>
      <c r="C84" s="2">
        <f>C83*0.302</f>
        <v>27693.23647639254</v>
      </c>
      <c r="D84" s="2">
        <f>D83*0.302</f>
        <v>0.66558696218236402</v>
      </c>
    </row>
    <row r="85" spans="1:4">
      <c r="A85" s="59"/>
      <c r="B85" s="24" t="s">
        <v>6</v>
      </c>
      <c r="C85" s="13">
        <f>10000/56146.82*D11</f>
        <v>617.53630926916253</v>
      </c>
      <c r="D85" s="2">
        <f>C85/D11/12</f>
        <v>1.4842039733208993E-2</v>
      </c>
    </row>
    <row r="86" spans="1:4">
      <c r="A86" s="59"/>
      <c r="B86" s="24" t="s">
        <v>15</v>
      </c>
      <c r="C86" s="2">
        <f>C83+C84+C85</f>
        <v>120010.23131676285</v>
      </c>
      <c r="D86" s="2">
        <f>D83+D84+D85</f>
        <v>2.8843593402677716</v>
      </c>
    </row>
    <row r="87" spans="1:4">
      <c r="A87" s="59"/>
      <c r="B87" s="3" t="s">
        <v>9</v>
      </c>
      <c r="C87" s="2">
        <f>C86*5/100</f>
        <v>6000.5115658381419</v>
      </c>
      <c r="D87" s="2">
        <f>D86*5/100</f>
        <v>0.14421796701338857</v>
      </c>
    </row>
    <row r="88" spans="1:4">
      <c r="A88" s="59"/>
      <c r="B88" s="24" t="s">
        <v>8</v>
      </c>
      <c r="C88" s="2">
        <f>C86+C87</f>
        <v>126010.74288260099</v>
      </c>
      <c r="D88" s="2">
        <f>D86+D87</f>
        <v>3.0285773072811604</v>
      </c>
    </row>
    <row r="89" spans="1:4">
      <c r="A89" s="59"/>
      <c r="B89" s="24" t="s">
        <v>10</v>
      </c>
      <c r="C89" s="2">
        <f>C88*6/100</f>
        <v>7560.6445729560592</v>
      </c>
      <c r="D89" s="2">
        <f>D88*6/100</f>
        <v>0.18171463843686961</v>
      </c>
    </row>
    <row r="90" spans="1:4">
      <c r="A90" s="59"/>
      <c r="B90" s="24" t="s">
        <v>8</v>
      </c>
      <c r="C90" s="2">
        <f>C88+C89</f>
        <v>133571.38745555704</v>
      </c>
      <c r="D90" s="2">
        <f>D88+D89</f>
        <v>3.2102919457180299</v>
      </c>
    </row>
    <row r="91" spans="1:4">
      <c r="A91" s="59"/>
      <c r="B91" s="5" t="s">
        <v>11</v>
      </c>
      <c r="C91" s="2">
        <f>C90*4/100</f>
        <v>5342.8554982222813</v>
      </c>
      <c r="D91" s="2">
        <f>D90*4/100</f>
        <v>0.1284116778287212</v>
      </c>
    </row>
    <row r="92" spans="1:4">
      <c r="A92" s="59"/>
      <c r="B92" s="5" t="s">
        <v>8</v>
      </c>
      <c r="C92" s="2">
        <f>C90+C91</f>
        <v>138914.24295377932</v>
      </c>
      <c r="D92" s="2">
        <f>D90+D91</f>
        <v>3.3387036235467509</v>
      </c>
    </row>
    <row r="93" spans="1:4" ht="31.5">
      <c r="A93" s="59" t="s">
        <v>57</v>
      </c>
      <c r="B93" s="28" t="s">
        <v>44</v>
      </c>
      <c r="C93" s="23">
        <f>C100</f>
        <v>43754.256000000001</v>
      </c>
      <c r="D93" s="23">
        <f>D100</f>
        <v>1.0516019808091093</v>
      </c>
    </row>
    <row r="94" spans="1:4">
      <c r="A94" s="59"/>
      <c r="B94" s="3" t="s">
        <v>16</v>
      </c>
      <c r="C94" s="13">
        <f>70*180*3</f>
        <v>37800</v>
      </c>
      <c r="D94" s="2">
        <f>C94/D11/12</f>
        <v>0.90849573295416863</v>
      </c>
    </row>
    <row r="95" spans="1:4">
      <c r="A95" s="59"/>
      <c r="B95" s="3" t="s">
        <v>9</v>
      </c>
      <c r="C95" s="2">
        <f>C94*5/100</f>
        <v>1890</v>
      </c>
      <c r="D95" s="2">
        <f>D94*5/100</f>
        <v>4.542478664770843E-2</v>
      </c>
    </row>
    <row r="96" spans="1:4">
      <c r="A96" s="59"/>
      <c r="B96" s="24" t="s">
        <v>8</v>
      </c>
      <c r="C96" s="2">
        <f>C94+C95</f>
        <v>39690</v>
      </c>
      <c r="D96" s="2">
        <f>D94+D95</f>
        <v>0.95392051960187707</v>
      </c>
    </row>
    <row r="97" spans="1:4">
      <c r="A97" s="59"/>
      <c r="B97" s="24" t="s">
        <v>10</v>
      </c>
      <c r="C97" s="2">
        <f>C96*6/100</f>
        <v>2381.4</v>
      </c>
      <c r="D97" s="2">
        <f>D96*6/100</f>
        <v>5.7235231176112622E-2</v>
      </c>
    </row>
    <row r="98" spans="1:4">
      <c r="A98" s="59"/>
      <c r="B98" s="24" t="s">
        <v>8</v>
      </c>
      <c r="C98" s="2">
        <f>C96+C97</f>
        <v>42071.4</v>
      </c>
      <c r="D98" s="2">
        <f>D96+D97</f>
        <v>1.0111557507779896</v>
      </c>
    </row>
    <row r="99" spans="1:4">
      <c r="A99" s="59"/>
      <c r="B99" s="5" t="s">
        <v>11</v>
      </c>
      <c r="C99" s="2">
        <f>C98*4/100</f>
        <v>1682.856</v>
      </c>
      <c r="D99" s="2">
        <f>D98*4/100</f>
        <v>4.0446230031119586E-2</v>
      </c>
    </row>
    <row r="100" spans="1:4">
      <c r="A100" s="59"/>
      <c r="B100" s="5" t="s">
        <v>8</v>
      </c>
      <c r="C100" s="2">
        <f>C98+C99</f>
        <v>43754.256000000001</v>
      </c>
      <c r="D100" s="2">
        <f>D98+D99</f>
        <v>1.0516019808091093</v>
      </c>
    </row>
    <row r="101" spans="1:4" ht="31.5">
      <c r="A101" s="59" t="s">
        <v>58</v>
      </c>
      <c r="B101" s="28" t="s">
        <v>88</v>
      </c>
      <c r="C101" s="13">
        <v>0</v>
      </c>
      <c r="D101" s="13">
        <v>0</v>
      </c>
    </row>
    <row r="102" spans="1:4" ht="29.25">
      <c r="A102" s="37" t="s">
        <v>42</v>
      </c>
      <c r="B102" s="22" t="s">
        <v>59</v>
      </c>
      <c r="C102" s="23">
        <f>C114+C126</f>
        <v>171634.85615018534</v>
      </c>
      <c r="D102" s="23">
        <f>D114+D126</f>
        <v>4.1251199586943361</v>
      </c>
    </row>
    <row r="103" spans="1:4" ht="28.5">
      <c r="A103" s="59" t="s">
        <v>61</v>
      </c>
      <c r="B103" s="24" t="s">
        <v>60</v>
      </c>
      <c r="C103" s="25">
        <f>C114</f>
        <v>54853.429326259196</v>
      </c>
      <c r="D103" s="2">
        <f>D114</f>
        <v>1.3183626053124216</v>
      </c>
    </row>
    <row r="104" spans="1:4">
      <c r="A104" s="59"/>
      <c r="B104" s="26" t="s">
        <v>4</v>
      </c>
      <c r="C104" s="33">
        <f>353*91.16</f>
        <v>32179.48</v>
      </c>
      <c r="D104" s="2">
        <f>C104/D11/12</f>
        <v>0.77341058911862459</v>
      </c>
    </row>
    <row r="105" spans="1:4" ht="28.5">
      <c r="A105" s="59"/>
      <c r="B105" s="27" t="s">
        <v>5</v>
      </c>
      <c r="C105" s="2">
        <f>C104*0.302</f>
        <v>9718.2029599999987</v>
      </c>
      <c r="D105" s="2">
        <f>C105/D11/12</f>
        <v>0.2335699979138246</v>
      </c>
    </row>
    <row r="106" spans="1:4">
      <c r="A106" s="59"/>
      <c r="B106" s="24" t="s">
        <v>6</v>
      </c>
      <c r="C106" s="33">
        <f>353*8.19</f>
        <v>2891.0699999999997</v>
      </c>
      <c r="D106" s="2">
        <f>C106/D11/12</f>
        <v>6.9484781975444651E-2</v>
      </c>
    </row>
    <row r="107" spans="1:4">
      <c r="A107" s="59"/>
      <c r="B107" s="3" t="s">
        <v>7</v>
      </c>
      <c r="C107" s="13">
        <f>520*5</f>
        <v>2600</v>
      </c>
      <c r="D107" s="2">
        <f>C107/D11/12</f>
        <v>6.2489124488911064E-2</v>
      </c>
    </row>
    <row r="108" spans="1:4">
      <c r="A108" s="59"/>
      <c r="B108" s="24" t="s">
        <v>8</v>
      </c>
      <c r="C108" s="2">
        <f>C104+C105+C106+C107</f>
        <v>47388.752959999998</v>
      </c>
      <c r="D108" s="2">
        <f>D104+D105+D106+D107</f>
        <v>1.138954493496805</v>
      </c>
    </row>
    <row r="109" spans="1:4">
      <c r="A109" s="59"/>
      <c r="B109" s="3" t="s">
        <v>9</v>
      </c>
      <c r="C109" s="2">
        <f>C108*5/100</f>
        <v>2369.4376480000001</v>
      </c>
      <c r="D109" s="2">
        <f>C109/D11/12</f>
        <v>5.6947724674840244E-2</v>
      </c>
    </row>
    <row r="110" spans="1:4">
      <c r="A110" s="59"/>
      <c r="B110" s="24" t="s">
        <v>8</v>
      </c>
      <c r="C110" s="2">
        <f>C108+C109</f>
        <v>49758.190607999997</v>
      </c>
      <c r="D110" s="2">
        <f>D108+D109</f>
        <v>1.1959022181716452</v>
      </c>
    </row>
    <row r="111" spans="1:4">
      <c r="A111" s="59"/>
      <c r="B111" s="24" t="s">
        <v>10</v>
      </c>
      <c r="C111" s="2">
        <f>C110*6/100</f>
        <v>2985.4914364799997</v>
      </c>
      <c r="D111" s="2">
        <f>C111/D11/12</f>
        <v>7.1754133090298697E-2</v>
      </c>
    </row>
    <row r="112" spans="1:4">
      <c r="A112" s="59"/>
      <c r="B112" s="24" t="s">
        <v>8</v>
      </c>
      <c r="C112" s="2">
        <f>C110+C111</f>
        <v>52743.682044479996</v>
      </c>
      <c r="D112" s="2">
        <f>D110+D111</f>
        <v>1.2676563512619439</v>
      </c>
    </row>
    <row r="113" spans="1:6">
      <c r="A113" s="59"/>
      <c r="B113" s="5" t="s">
        <v>11</v>
      </c>
      <c r="C113" s="2">
        <f>C112*4/100</f>
        <v>2109.7472817792</v>
      </c>
      <c r="D113" s="2">
        <f>C113/D11/12</f>
        <v>5.0706254050477746E-2</v>
      </c>
    </row>
    <row r="114" spans="1:6">
      <c r="A114" s="59"/>
      <c r="B114" s="5" t="s">
        <v>8</v>
      </c>
      <c r="C114" s="2">
        <f>C112+C113</f>
        <v>54853.429326259196</v>
      </c>
      <c r="D114" s="2">
        <f>D112+D113</f>
        <v>1.3183626053124216</v>
      </c>
    </row>
    <row r="115" spans="1:6" ht="30.75" customHeight="1">
      <c r="A115" s="59" t="s">
        <v>62</v>
      </c>
      <c r="B115" s="24" t="s">
        <v>63</v>
      </c>
      <c r="C115" s="2">
        <f>C126</f>
        <v>116781.42682392613</v>
      </c>
      <c r="D115" s="2">
        <f>D126</f>
        <v>2.8067573533819146</v>
      </c>
    </row>
    <row r="116" spans="1:6">
      <c r="A116" s="59"/>
      <c r="B116" s="26" t="s">
        <v>4</v>
      </c>
      <c r="C116" s="13">
        <f>2411.9*29.52</f>
        <v>71199.288</v>
      </c>
      <c r="D116" s="2">
        <f>C116/D11/12</f>
        <v>1.7112235274437815</v>
      </c>
    </row>
    <row r="117" spans="1:6" ht="28.5">
      <c r="A117" s="59"/>
      <c r="B117" s="27" t="s">
        <v>5</v>
      </c>
      <c r="C117" s="2">
        <f>C116*0.302</f>
        <v>21502.184976</v>
      </c>
      <c r="D117" s="2">
        <f>C117/D11/12</f>
        <v>0.51678950528802203</v>
      </c>
    </row>
    <row r="118" spans="1:6">
      <c r="A118" s="59"/>
      <c r="B118" s="24" t="s">
        <v>6</v>
      </c>
      <c r="C118" s="13">
        <f>2411.9*1.91</f>
        <v>4606.7290000000003</v>
      </c>
      <c r="D118" s="2">
        <f>C118/D11/12</f>
        <v>0.11071940844910645</v>
      </c>
    </row>
    <row r="119" spans="1:6">
      <c r="A119" s="59"/>
      <c r="B119" s="3" t="s">
        <v>12</v>
      </c>
      <c r="C119" s="13">
        <f>(64000+12000)/51186.1*2411.9</f>
        <v>3581.1362850461355</v>
      </c>
      <c r="D119" s="2">
        <f>C119/D11/12</f>
        <v>8.6070027356924803E-2</v>
      </c>
    </row>
    <row r="120" spans="1:6">
      <c r="A120" s="59"/>
      <c r="B120" s="24" t="s">
        <v>8</v>
      </c>
      <c r="C120" s="2">
        <f>C116+C117+C118+C119</f>
        <v>100889.33826104614</v>
      </c>
      <c r="D120" s="2">
        <f>D116+D117+D118+D119</f>
        <v>2.4248024685378349</v>
      </c>
    </row>
    <row r="121" spans="1:6">
      <c r="A121" s="59"/>
      <c r="B121" s="3" t="s">
        <v>9</v>
      </c>
      <c r="C121" s="2">
        <f>C120*5/100</f>
        <v>5044.4669130523071</v>
      </c>
      <c r="D121" s="2">
        <f>C121/D11/12</f>
        <v>0.12124012342689174</v>
      </c>
    </row>
    <row r="122" spans="1:6">
      <c r="A122" s="59"/>
      <c r="B122" s="24" t="s">
        <v>8</v>
      </c>
      <c r="C122" s="2">
        <f>C120+C121</f>
        <v>105933.80517409845</v>
      </c>
      <c r="D122" s="2">
        <f>D120+D121</f>
        <v>2.5460425919647265</v>
      </c>
    </row>
    <row r="123" spans="1:6">
      <c r="A123" s="59"/>
      <c r="B123" s="24" t="s">
        <v>10</v>
      </c>
      <c r="C123" s="2">
        <f>C122*6/100</f>
        <v>6356.0283104459068</v>
      </c>
      <c r="D123" s="2">
        <f>C123/D11/12</f>
        <v>0.15276255551788359</v>
      </c>
    </row>
    <row r="124" spans="1:6">
      <c r="A124" s="59"/>
      <c r="B124" s="24" t="s">
        <v>8</v>
      </c>
      <c r="C124" s="2">
        <f>C122+C123</f>
        <v>112289.83348454436</v>
      </c>
      <c r="D124" s="2">
        <f>D122+D123</f>
        <v>2.6988051474826102</v>
      </c>
    </row>
    <row r="125" spans="1:6">
      <c r="A125" s="59"/>
      <c r="B125" s="5" t="s">
        <v>11</v>
      </c>
      <c r="C125" s="2">
        <f>C124*4/100</f>
        <v>4491.5933393817741</v>
      </c>
      <c r="D125" s="2">
        <f>C125/D11/12</f>
        <v>0.10795220589930439</v>
      </c>
    </row>
    <row r="126" spans="1:6">
      <c r="A126" s="59"/>
      <c r="B126" s="5" t="s">
        <v>8</v>
      </c>
      <c r="C126" s="2">
        <f>C124+C125</f>
        <v>116781.42682392613</v>
      </c>
      <c r="D126" s="2">
        <f>D124+D125</f>
        <v>2.8067573533819146</v>
      </c>
    </row>
    <row r="127" spans="1:6" ht="44.25" customHeight="1">
      <c r="A127" s="42" t="s">
        <v>64</v>
      </c>
      <c r="B127" s="5" t="s">
        <v>65</v>
      </c>
      <c r="C127" s="4">
        <f>C131+C139+C135</f>
        <v>1502.7609600000001</v>
      </c>
      <c r="D127" s="4">
        <f>D131+D139+D135</f>
        <v>3.6117775656352116E-2</v>
      </c>
      <c r="F127" s="17"/>
    </row>
    <row r="128" spans="1:6">
      <c r="A128" s="59" t="s">
        <v>35</v>
      </c>
      <c r="B128" s="5" t="s">
        <v>136</v>
      </c>
      <c r="C128" s="46"/>
      <c r="D128" s="4"/>
    </row>
    <row r="129" spans="1:6">
      <c r="A129" s="59"/>
      <c r="B129" s="24" t="s">
        <v>10</v>
      </c>
      <c r="C129" s="2">
        <f xml:space="preserve"> 3093.97*6/100</f>
        <v>185.63819999999998</v>
      </c>
      <c r="D129" s="2">
        <f>C129/12/D11</f>
        <v>4.4616802268066802E-3</v>
      </c>
    </row>
    <row r="130" spans="1:6">
      <c r="A130" s="59"/>
      <c r="B130" s="5" t="s">
        <v>11</v>
      </c>
      <c r="C130" s="2">
        <f>( 3093.97+C129)*4/100</f>
        <v>131.18432799999999</v>
      </c>
      <c r="D130" s="2">
        <f>C130/12/D11</f>
        <v>3.152920693610054E-3</v>
      </c>
    </row>
    <row r="131" spans="1:6">
      <c r="A131" s="59"/>
      <c r="B131" s="5" t="s">
        <v>8</v>
      </c>
      <c r="C131" s="2">
        <f>C129+C130</f>
        <v>316.82252799999998</v>
      </c>
      <c r="D131" s="2">
        <f>D129+D130</f>
        <v>7.6146009204167342E-3</v>
      </c>
    </row>
    <row r="132" spans="1:6">
      <c r="A132" s="59" t="s">
        <v>36</v>
      </c>
      <c r="B132" s="5" t="s">
        <v>137</v>
      </c>
      <c r="C132" s="46"/>
      <c r="D132" s="4"/>
    </row>
    <row r="133" spans="1:6">
      <c r="A133" s="59"/>
      <c r="B133" s="24" t="s">
        <v>10</v>
      </c>
      <c r="C133" s="2">
        <f>2739.84*6/100</f>
        <v>164.3904</v>
      </c>
      <c r="D133" s="2">
        <f>C133/12/D11</f>
        <v>3.9510046809161092E-3</v>
      </c>
    </row>
    <row r="134" spans="1:6">
      <c r="A134" s="59"/>
      <c r="B134" s="5" t="s">
        <v>11</v>
      </c>
      <c r="C134" s="2">
        <f>(2739.84+C133)*4/100</f>
        <v>116.16921600000002</v>
      </c>
      <c r="D134" s="2">
        <f>C134/12/D11</f>
        <v>2.7920433078473849E-3</v>
      </c>
    </row>
    <row r="135" spans="1:6">
      <c r="A135" s="59"/>
      <c r="B135" s="5" t="s">
        <v>8</v>
      </c>
      <c r="C135" s="2">
        <f t="shared" ref="C135:D135" si="0">C133+C134</f>
        <v>280.55961600000001</v>
      </c>
      <c r="D135" s="2">
        <f t="shared" si="0"/>
        <v>6.7430479887634941E-3</v>
      </c>
    </row>
    <row r="136" spans="1:6">
      <c r="A136" s="59" t="s">
        <v>42</v>
      </c>
      <c r="B136" s="5" t="s">
        <v>138</v>
      </c>
      <c r="C136" s="46"/>
      <c r="D136" s="4"/>
    </row>
    <row r="137" spans="1:6">
      <c r="A137" s="59"/>
      <c r="B137" s="24" t="s">
        <v>10</v>
      </c>
      <c r="C137" s="2">
        <f>8841.59*6/100</f>
        <v>530.49540000000002</v>
      </c>
      <c r="D137" s="2">
        <f>C137/12/D11</f>
        <v>1.2750074265921028E-2</v>
      </c>
    </row>
    <row r="138" spans="1:6">
      <c r="A138" s="59"/>
      <c r="B138" s="5" t="s">
        <v>11</v>
      </c>
      <c r="C138" s="2">
        <f>(8841.59+C137)*4/100</f>
        <v>374.88341600000001</v>
      </c>
      <c r="D138" s="2">
        <f>C138/12/D11</f>
        <v>9.0100524812508596E-3</v>
      </c>
    </row>
    <row r="139" spans="1:6">
      <c r="A139" s="59"/>
      <c r="B139" s="5" t="s">
        <v>8</v>
      </c>
      <c r="C139" s="2">
        <f t="shared" ref="C139:D139" si="1">C137+C138</f>
        <v>905.37881600000003</v>
      </c>
      <c r="D139" s="2">
        <f t="shared" si="1"/>
        <v>2.1760126747171888E-2</v>
      </c>
    </row>
    <row r="140" spans="1:6">
      <c r="A140" s="59"/>
      <c r="B140" s="6" t="s">
        <v>30</v>
      </c>
      <c r="C140" s="2">
        <f>C12+C47+C127</f>
        <v>754361.80548787245</v>
      </c>
      <c r="D140" s="2">
        <f>D12+D47+D127</f>
        <v>18.133781539658411</v>
      </c>
      <c r="E140" s="17"/>
      <c r="F140" s="17"/>
    </row>
    <row r="141" spans="1:6" ht="28.5">
      <c r="A141" s="42" t="s">
        <v>66</v>
      </c>
      <c r="B141" s="24" t="s">
        <v>67</v>
      </c>
      <c r="C141" s="23">
        <v>342751</v>
      </c>
      <c r="D141" s="57">
        <v>8.24</v>
      </c>
    </row>
    <row r="142" spans="1:6" hidden="1">
      <c r="A142" s="59"/>
      <c r="B142" s="6" t="s">
        <v>30</v>
      </c>
      <c r="C142" s="7"/>
      <c r="D142" s="7"/>
    </row>
    <row r="143" spans="1:6" hidden="1">
      <c r="A143" s="42" t="s">
        <v>72</v>
      </c>
      <c r="B143" s="3" t="s">
        <v>73</v>
      </c>
      <c r="C143" s="2">
        <v>0</v>
      </c>
      <c r="D143" s="2">
        <v>0</v>
      </c>
    </row>
    <row r="144" spans="1:6">
      <c r="A144" s="59"/>
      <c r="B144" s="41" t="s">
        <v>71</v>
      </c>
      <c r="C144" s="2">
        <f>C140+C141</f>
        <v>1097112.8054878726</v>
      </c>
      <c r="D144" s="2">
        <f>D140+D141</f>
        <v>26.37378153965841</v>
      </c>
    </row>
    <row r="145" spans="2:4">
      <c r="B145" s="8"/>
      <c r="C145" s="15"/>
      <c r="D145" s="8"/>
    </row>
    <row r="146" spans="2:4">
      <c r="B146" s="9" t="s">
        <v>75</v>
      </c>
      <c r="C146" s="16"/>
      <c r="D146" s="10"/>
    </row>
    <row r="147" spans="2:4" ht="15.75">
      <c r="B147" s="30" t="s">
        <v>47</v>
      </c>
      <c r="C147" s="31"/>
      <c r="D147" s="30"/>
    </row>
    <row r="148" spans="2:4" ht="15.75">
      <c r="B148" s="30"/>
      <c r="C148" s="31"/>
      <c r="D148" s="30"/>
    </row>
    <row r="149" spans="2:4">
      <c r="B149" s="72" t="s">
        <v>31</v>
      </c>
      <c r="C149" s="72"/>
      <c r="D149" s="72"/>
    </row>
    <row r="150" spans="2:4" ht="15.75">
      <c r="B150" s="30"/>
      <c r="C150" s="31"/>
      <c r="D150" s="30"/>
    </row>
  </sheetData>
  <mergeCells count="11">
    <mergeCell ref="B7:D7"/>
    <mergeCell ref="C1:D1"/>
    <mergeCell ref="C2:D2"/>
    <mergeCell ref="C3:D3"/>
    <mergeCell ref="C4:D4"/>
    <mergeCell ref="B6:D6"/>
    <mergeCell ref="A9:A10"/>
    <mergeCell ref="B9:B10"/>
    <mergeCell ref="C9:C10"/>
    <mergeCell ref="D9:D10"/>
    <mergeCell ref="B149:D149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8"/>
  <sheetViews>
    <sheetView zoomScale="130" zoomScaleNormal="130" workbookViewId="0">
      <selection activeCell="D147" sqref="D147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86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3796.78</v>
      </c>
    </row>
    <row r="12" spans="1:6">
      <c r="A12" s="42" t="s">
        <v>51</v>
      </c>
      <c r="B12" s="24" t="s">
        <v>52</v>
      </c>
      <c r="C12" s="2">
        <f>C13+C24+C43</f>
        <v>376804.48843269073</v>
      </c>
      <c r="D12" s="2">
        <f>D13+D24+D43</f>
        <v>8.2743942350929256</v>
      </c>
    </row>
    <row r="13" spans="1:6">
      <c r="A13" s="43" t="s">
        <v>35</v>
      </c>
      <c r="B13" s="24" t="s">
        <v>70</v>
      </c>
      <c r="C13" s="2">
        <f>C23</f>
        <v>248905.96599989527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162559.69167068769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C14*0.302</f>
        <v>49093.026884547682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3381.1175770951945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215033.83613233056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10751.691806616527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225785.52793894708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13547.131676336825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239332.65961528392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9573.3063846113564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248905.96599989527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93174.182432795526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1081.9576246704621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23126.84422733113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21503.907790325437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3043.0058193856748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3801.8300372131498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5421.3089433845053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6342.9765746305848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473.35646079332724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7645.6535547338217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5720.8509404450697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2332.9711281956843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80494.663101108861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4024.7331550554431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84519.396256164298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5071.1637753698578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89590.560031534158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3583.6224012613661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93174.182432795526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34724.339999999997</v>
      </c>
      <c r="D43" s="2">
        <f>D46</f>
        <v>0.76214450139328582</v>
      </c>
    </row>
    <row r="44" spans="1:5">
      <c r="A44" s="43"/>
      <c r="B44" s="5" t="s">
        <v>28</v>
      </c>
      <c r="C44" s="46">
        <v>31856.25</v>
      </c>
      <c r="D44" s="4">
        <f>C44/12/D11</f>
        <v>0.6991944489804518</v>
      </c>
    </row>
    <row r="45" spans="1:5" ht="19.5" customHeight="1">
      <c r="A45" s="43"/>
      <c r="B45" s="5" t="s">
        <v>29</v>
      </c>
      <c r="C45" s="46">
        <v>2868.09</v>
      </c>
      <c r="D45" s="4">
        <f>C45/12/D11</f>
        <v>6.2950052412834037E-2</v>
      </c>
    </row>
    <row r="46" spans="1:5">
      <c r="A46" s="43"/>
      <c r="B46" s="5" t="s">
        <v>8</v>
      </c>
      <c r="C46" s="4">
        <f>C44+C45</f>
        <v>34724.339999999997</v>
      </c>
      <c r="D46" s="4">
        <f>D44+D45</f>
        <v>0.76214450139328582</v>
      </c>
      <c r="E46" s="45"/>
    </row>
    <row r="47" spans="1:5">
      <c r="A47" s="42" t="s">
        <v>54</v>
      </c>
      <c r="B47" s="5" t="s">
        <v>55</v>
      </c>
      <c r="C47" s="2">
        <f>C48+C59+C110</f>
        <v>538134.74844643171</v>
      </c>
      <c r="D47" s="2">
        <f>D48+D59+D110</f>
        <v>11.81120906940512</v>
      </c>
    </row>
    <row r="48" spans="1:5" ht="47.25" customHeight="1">
      <c r="A48" s="43" t="s">
        <v>35</v>
      </c>
      <c r="B48" s="28" t="s">
        <v>46</v>
      </c>
      <c r="C48" s="4">
        <f>C58</f>
        <v>42047.108608900162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25302.650190967182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7641.4003576720888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3381.1175770951945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36325.168125734468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1816.2584062867234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38141.426532021193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2288.4855919212714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40429.912123942464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1617.1964849576987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42047.108608900162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C60+C72+C83+C94+C102</f>
        <v>287447.56434615428</v>
      </c>
      <c r="D59" s="23">
        <f>D60+D72+D83+D94+D102</f>
        <v>6.3090207216411933</v>
      </c>
      <c r="G59" s="17"/>
    </row>
    <row r="60" spans="1:7">
      <c r="A60" s="43" t="s">
        <v>38</v>
      </c>
      <c r="B60" s="24" t="s">
        <v>40</v>
      </c>
      <c r="C60" s="2">
        <f>C71</f>
        <v>65202.401605905434</v>
      </c>
      <c r="D60" s="2">
        <f>D71</f>
        <v>1.43108988857895</v>
      </c>
    </row>
    <row r="61" spans="1:7">
      <c r="A61" s="43"/>
      <c r="B61" s="24" t="s">
        <v>13</v>
      </c>
      <c r="C61" s="2">
        <f>(402940.32+0.5*298665.6)/56146.82*D11</f>
        <v>37346.00706778407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11278.49413447079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2704.8940616761556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0.10974211480956669</v>
      </c>
    </row>
    <row r="65" spans="1:4">
      <c r="A65" s="43"/>
      <c r="B65" s="24" t="s">
        <v>8</v>
      </c>
      <c r="C65" s="2">
        <f>C61+C62+C63+C64</f>
        <v>56329.395263931016</v>
      </c>
      <c r="D65" s="2">
        <f>D61+D62+D63+D64</f>
        <v>1.2363413924415561</v>
      </c>
    </row>
    <row r="66" spans="1:4">
      <c r="A66" s="43"/>
      <c r="B66" s="3" t="s">
        <v>9</v>
      </c>
      <c r="C66" s="2">
        <f>C65*5/100</f>
        <v>2816.469763196551</v>
      </c>
      <c r="D66" s="2">
        <f>D65*5/100</f>
        <v>6.1817069622077801E-2</v>
      </c>
    </row>
    <row r="67" spans="1:4">
      <c r="A67" s="43"/>
      <c r="B67" s="24" t="s">
        <v>8</v>
      </c>
      <c r="C67" s="2">
        <f>C65+C66</f>
        <v>59145.865027127569</v>
      </c>
      <c r="D67" s="2">
        <f>D65+D66</f>
        <v>1.2981584620636339</v>
      </c>
    </row>
    <row r="68" spans="1:4">
      <c r="A68" s="43"/>
      <c r="B68" s="24" t="s">
        <v>10</v>
      </c>
      <c r="C68" s="2">
        <f>C67*6/100</f>
        <v>3548.7519016276547</v>
      </c>
      <c r="D68" s="2">
        <f>D67*6/100</f>
        <v>7.788950772381803E-2</v>
      </c>
    </row>
    <row r="69" spans="1:4">
      <c r="A69" s="43"/>
      <c r="B69" s="24" t="s">
        <v>8</v>
      </c>
      <c r="C69" s="2">
        <f>C67+C68</f>
        <v>62694.616928755226</v>
      </c>
      <c r="D69" s="2">
        <f>D67+D68</f>
        <v>1.3760479697874519</v>
      </c>
    </row>
    <row r="70" spans="1:4">
      <c r="A70" s="43"/>
      <c r="B70" s="5" t="s">
        <v>11</v>
      </c>
      <c r="C70" s="2">
        <f>C69*4/100</f>
        <v>2507.7846771502091</v>
      </c>
      <c r="D70" s="2">
        <f>D69*4/100</f>
        <v>5.5041918791498078E-2</v>
      </c>
    </row>
    <row r="71" spans="1:4">
      <c r="A71" s="43"/>
      <c r="B71" s="5" t="s">
        <v>8</v>
      </c>
      <c r="C71" s="2">
        <f>C69+C70</f>
        <v>65202.401605905434</v>
      </c>
      <c r="D71" s="2">
        <f>D69+D70</f>
        <v>1.43108988857895</v>
      </c>
    </row>
    <row r="72" spans="1:4">
      <c r="A72" s="43" t="s">
        <v>39</v>
      </c>
      <c r="B72" s="24" t="s">
        <v>41</v>
      </c>
      <c r="C72" s="2">
        <f>C82</f>
        <v>25091.33933453081</v>
      </c>
      <c r="D72" s="2">
        <f>D82</f>
        <v>0.55071532839517534</v>
      </c>
    </row>
    <row r="73" spans="1:4">
      <c r="A73" s="43"/>
      <c r="B73" s="24" t="s">
        <v>13</v>
      </c>
      <c r="C73" s="2">
        <f>(171109.32+0.2*298665.6)/56146.82*D11</f>
        <v>15610.108628470856</v>
      </c>
      <c r="D73" s="2">
        <f>C73/D11/12</f>
        <v>0.34261726665909126</v>
      </c>
    </row>
    <row r="74" spans="1:4" ht="28.5">
      <c r="A74" s="43"/>
      <c r="B74" s="27" t="s">
        <v>5</v>
      </c>
      <c r="C74" s="2">
        <f>C73*0.302</f>
        <v>4714.2528057981981</v>
      </c>
      <c r="D74" s="2">
        <f>C74/D11/12</f>
        <v>0.10347041453104555</v>
      </c>
    </row>
    <row r="75" spans="1:4">
      <c r="A75" s="43"/>
      <c r="B75" s="24" t="s">
        <v>6</v>
      </c>
      <c r="C75" s="13">
        <f>20000/56146.82*D11</f>
        <v>1352.4470308380778</v>
      </c>
      <c r="D75" s="2">
        <f>C75/D11/12</f>
        <v>2.9684079466417986E-2</v>
      </c>
    </row>
    <row r="76" spans="1:4">
      <c r="A76" s="43"/>
      <c r="B76" s="24" t="s">
        <v>8</v>
      </c>
      <c r="C76" s="2">
        <f>C73+C74+C75</f>
        <v>21676.808465107133</v>
      </c>
      <c r="D76" s="2">
        <f>D73+D74+D75</f>
        <v>0.4757717606565548</v>
      </c>
    </row>
    <row r="77" spans="1:4">
      <c r="A77" s="43"/>
      <c r="B77" s="3" t="s">
        <v>9</v>
      </c>
      <c r="C77" s="2">
        <f>C76*5/100</f>
        <v>1083.8404232553567</v>
      </c>
      <c r="D77" s="2">
        <f>D76*5/100</f>
        <v>2.3788588032827736E-2</v>
      </c>
    </row>
    <row r="78" spans="1:4">
      <c r="A78" s="43"/>
      <c r="B78" s="24" t="s">
        <v>8</v>
      </c>
      <c r="C78" s="2">
        <f>C76+C77</f>
        <v>22760.648888362492</v>
      </c>
      <c r="D78" s="2">
        <f>D76+D77</f>
        <v>0.49956034868938254</v>
      </c>
    </row>
    <row r="79" spans="1:4">
      <c r="A79" s="43"/>
      <c r="B79" s="24" t="s">
        <v>10</v>
      </c>
      <c r="C79" s="2">
        <f>C78*6/100</f>
        <v>1365.6389333017496</v>
      </c>
      <c r="D79" s="2">
        <f>D78*6/100</f>
        <v>2.9973620921362954E-2</v>
      </c>
    </row>
    <row r="80" spans="1:4">
      <c r="A80" s="43"/>
      <c r="B80" s="24" t="s">
        <v>8</v>
      </c>
      <c r="C80" s="2">
        <f>C78+C79</f>
        <v>24126.287821664242</v>
      </c>
      <c r="D80" s="2">
        <f>D78+D79</f>
        <v>0.5295339696107455</v>
      </c>
    </row>
    <row r="81" spans="1:4">
      <c r="A81" s="43"/>
      <c r="B81" s="5" t="s">
        <v>11</v>
      </c>
      <c r="C81" s="2">
        <f>C80*4/100</f>
        <v>965.05151286656974</v>
      </c>
      <c r="D81" s="2">
        <f>D80*4/100</f>
        <v>2.1181358784429821E-2</v>
      </c>
    </row>
    <row r="82" spans="1:4">
      <c r="A82" s="43"/>
      <c r="B82" s="5" t="s">
        <v>8</v>
      </c>
      <c r="C82" s="2">
        <f>C80+C81</f>
        <v>25091.33933453081</v>
      </c>
      <c r="D82" s="2">
        <f>D80+D81</f>
        <v>0.55071532839517534</v>
      </c>
    </row>
    <row r="83" spans="1:4" ht="30.75" customHeight="1">
      <c r="A83" s="43" t="s">
        <v>56</v>
      </c>
      <c r="B83" s="28" t="s">
        <v>43</v>
      </c>
      <c r="C83" s="2">
        <f>C93</f>
        <v>152115.87772571802</v>
      </c>
      <c r="D83" s="2">
        <f>D93</f>
        <v>3.3387036235467509</v>
      </c>
    </row>
    <row r="84" spans="1:4">
      <c r="A84" s="43"/>
      <c r="B84" s="24" t="s">
        <v>13</v>
      </c>
      <c r="C84" s="2">
        <f>(1395324.48+0.3*298665.6)/56146.82*D11</f>
        <v>100414.06356058634</v>
      </c>
      <c r="D84" s="2">
        <f>C84/D11/12</f>
        <v>2.2039303383521989</v>
      </c>
    </row>
    <row r="85" spans="1:4" ht="28.5">
      <c r="A85" s="43"/>
      <c r="B85" s="27" t="s">
        <v>5</v>
      </c>
      <c r="C85" s="2">
        <f>C84*0.302</f>
        <v>30325.047195297073</v>
      </c>
      <c r="D85" s="2">
        <f>D84*0.302</f>
        <v>0.66558696218236402</v>
      </c>
    </row>
    <row r="86" spans="1:4">
      <c r="A86" s="43"/>
      <c r="B86" s="24" t="s">
        <v>6</v>
      </c>
      <c r="C86" s="13">
        <f>10000/56146.82*D11</f>
        <v>676.2235154190389</v>
      </c>
      <c r="D86" s="2">
        <f>C86/D11/12</f>
        <v>1.4842039733208993E-2</v>
      </c>
    </row>
    <row r="87" spans="1:4">
      <c r="A87" s="43"/>
      <c r="B87" s="24" t="s">
        <v>15</v>
      </c>
      <c r="C87" s="2">
        <f>C84+C85+C86</f>
        <v>131415.33427130245</v>
      </c>
      <c r="D87" s="2">
        <f>D84+D85+D86</f>
        <v>2.8843593402677716</v>
      </c>
    </row>
    <row r="88" spans="1:4">
      <c r="A88" s="43"/>
      <c r="B88" s="3" t="s">
        <v>9</v>
      </c>
      <c r="C88" s="2">
        <f>C87*5/100</f>
        <v>6570.7667135651227</v>
      </c>
      <c r="D88" s="2">
        <f>D87*5/100</f>
        <v>0.14421796701338857</v>
      </c>
    </row>
    <row r="89" spans="1:4">
      <c r="A89" s="43"/>
      <c r="B89" s="24" t="s">
        <v>8</v>
      </c>
      <c r="C89" s="2">
        <f>C87+C88</f>
        <v>137986.10098486757</v>
      </c>
      <c r="D89" s="2">
        <f>D87+D88</f>
        <v>3.0285773072811604</v>
      </c>
    </row>
    <row r="90" spans="1:4">
      <c r="A90" s="43"/>
      <c r="B90" s="24" t="s">
        <v>10</v>
      </c>
      <c r="C90" s="2">
        <f>C89*6/100</f>
        <v>8279.1660590920546</v>
      </c>
      <c r="D90" s="2">
        <f>D89*6/100</f>
        <v>0.18171463843686961</v>
      </c>
    </row>
    <row r="91" spans="1:4">
      <c r="A91" s="43"/>
      <c r="B91" s="24" t="s">
        <v>8</v>
      </c>
      <c r="C91" s="2">
        <f>C89+C90</f>
        <v>146265.26704395964</v>
      </c>
      <c r="D91" s="2">
        <f>D89+D90</f>
        <v>3.2102919457180299</v>
      </c>
    </row>
    <row r="92" spans="1:4">
      <c r="A92" s="43"/>
      <c r="B92" s="5" t="s">
        <v>11</v>
      </c>
      <c r="C92" s="2">
        <f>C91*4/100</f>
        <v>5850.6106817583859</v>
      </c>
      <c r="D92" s="2">
        <f>D91*4/100</f>
        <v>0.1284116778287212</v>
      </c>
    </row>
    <row r="93" spans="1:4">
      <c r="A93" s="43"/>
      <c r="B93" s="5" t="s">
        <v>8</v>
      </c>
      <c r="C93" s="2">
        <f>C91+C92</f>
        <v>152115.87772571802</v>
      </c>
      <c r="D93" s="2">
        <f>D91+D92</f>
        <v>3.3387036235467509</v>
      </c>
    </row>
    <row r="94" spans="1:4" ht="31.5">
      <c r="A94" s="43" t="s">
        <v>57</v>
      </c>
      <c r="B94" s="28" t="s">
        <v>44</v>
      </c>
      <c r="C94" s="23">
        <f>C101</f>
        <v>43754.256000000001</v>
      </c>
      <c r="D94" s="23">
        <f>D101</f>
        <v>0.96033691707183444</v>
      </c>
    </row>
    <row r="95" spans="1:4">
      <c r="A95" s="43"/>
      <c r="B95" s="3" t="s">
        <v>16</v>
      </c>
      <c r="C95" s="13">
        <f>70*180*3</f>
        <v>37800</v>
      </c>
      <c r="D95" s="2">
        <f>C95/D11/12</f>
        <v>0.8296503879603242</v>
      </c>
    </row>
    <row r="96" spans="1:4">
      <c r="A96" s="43"/>
      <c r="B96" s="3" t="s">
        <v>9</v>
      </c>
      <c r="C96" s="2">
        <f>C95*5/100</f>
        <v>1890</v>
      </c>
      <c r="D96" s="2">
        <f>D95*5/100</f>
        <v>4.1482519398016206E-2</v>
      </c>
    </row>
    <row r="97" spans="1:4">
      <c r="A97" s="43"/>
      <c r="B97" s="24" t="s">
        <v>8</v>
      </c>
      <c r="C97" s="2">
        <f>C95+C96</f>
        <v>39690</v>
      </c>
      <c r="D97" s="2">
        <f>D95+D96</f>
        <v>0.87113290735834037</v>
      </c>
    </row>
    <row r="98" spans="1:4">
      <c r="A98" s="43"/>
      <c r="B98" s="24" t="s">
        <v>10</v>
      </c>
      <c r="C98" s="2">
        <f>C97*6/100</f>
        <v>2381.4</v>
      </c>
      <c r="D98" s="2">
        <f>D97*6/100</f>
        <v>5.2267974441500421E-2</v>
      </c>
    </row>
    <row r="99" spans="1:4">
      <c r="A99" s="43"/>
      <c r="B99" s="24" t="s">
        <v>8</v>
      </c>
      <c r="C99" s="2">
        <f>C97+C98</f>
        <v>42071.4</v>
      </c>
      <c r="D99" s="2">
        <f>D97+D98</f>
        <v>0.92340088179984081</v>
      </c>
    </row>
    <row r="100" spans="1:4">
      <c r="A100" s="43"/>
      <c r="B100" s="5" t="s">
        <v>11</v>
      </c>
      <c r="C100" s="2">
        <f>C99*4/100</f>
        <v>1682.856</v>
      </c>
      <c r="D100" s="2">
        <f>D99*4/100</f>
        <v>3.6936035271993635E-2</v>
      </c>
    </row>
    <row r="101" spans="1:4">
      <c r="A101" s="43"/>
      <c r="B101" s="5" t="s">
        <v>8</v>
      </c>
      <c r="C101" s="2">
        <f>C99+C100</f>
        <v>43754.256000000001</v>
      </c>
      <c r="D101" s="2">
        <f>D99+D100</f>
        <v>0.96033691707183444</v>
      </c>
    </row>
    <row r="102" spans="1:4" ht="31.5">
      <c r="A102" s="43" t="s">
        <v>58</v>
      </c>
      <c r="B102" s="28" t="s">
        <v>88</v>
      </c>
      <c r="C102" s="13">
        <f>C109</f>
        <v>1283.68968</v>
      </c>
      <c r="D102" s="13">
        <f>D109</f>
        <v>2.8174964048483186E-2</v>
      </c>
    </row>
    <row r="103" spans="1:4">
      <c r="A103" s="47"/>
      <c r="B103" s="48" t="s">
        <v>89</v>
      </c>
      <c r="C103" s="2">
        <v>1109</v>
      </c>
      <c r="D103" s="49">
        <f>C103/12/D11</f>
        <v>2.4340801064761896E-2</v>
      </c>
    </row>
    <row r="104" spans="1:4">
      <c r="A104" s="47"/>
      <c r="B104" s="50" t="s">
        <v>9</v>
      </c>
      <c r="C104" s="51">
        <f>C103*5/100</f>
        <v>55.45</v>
      </c>
      <c r="D104" s="51">
        <f>D103*5/100</f>
        <v>1.2170400532380949E-3</v>
      </c>
    </row>
    <row r="105" spans="1:4">
      <c r="A105" s="47"/>
      <c r="B105" s="52" t="s">
        <v>8</v>
      </c>
      <c r="C105" s="51">
        <f>C103+C104</f>
        <v>1164.45</v>
      </c>
      <c r="D105" s="49">
        <f>D103+D104</f>
        <v>2.555784111799999E-2</v>
      </c>
    </row>
    <row r="106" spans="1:4">
      <c r="A106" s="47"/>
      <c r="B106" s="53" t="s">
        <v>10</v>
      </c>
      <c r="C106" s="51">
        <f>C105*6/100</f>
        <v>69.867000000000004</v>
      </c>
      <c r="D106" s="51">
        <f>D105*6/100</f>
        <v>1.5334704670799991E-3</v>
      </c>
    </row>
    <row r="107" spans="1:4">
      <c r="A107" s="47"/>
      <c r="B107" s="52" t="s">
        <v>8</v>
      </c>
      <c r="C107" s="51">
        <f>C105+C106</f>
        <v>1234.317</v>
      </c>
      <c r="D107" s="49">
        <f>D105+D106</f>
        <v>2.7091311585079988E-2</v>
      </c>
    </row>
    <row r="108" spans="1:4">
      <c r="A108" s="47"/>
      <c r="B108" s="54" t="s">
        <v>11</v>
      </c>
      <c r="C108" s="51">
        <f>C107*4/100</f>
        <v>49.372680000000003</v>
      </c>
      <c r="D108" s="51">
        <f>D107*4/100</f>
        <v>1.0836524634031995E-3</v>
      </c>
    </row>
    <row r="109" spans="1:4">
      <c r="A109" s="47"/>
      <c r="B109" s="5" t="s">
        <v>8</v>
      </c>
      <c r="C109" s="2">
        <f>C107+C108</f>
        <v>1283.68968</v>
      </c>
      <c r="D109" s="2">
        <f>D107+D108</f>
        <v>2.8174964048483186E-2</v>
      </c>
    </row>
    <row r="110" spans="1:4" ht="29.25">
      <c r="A110" s="37" t="s">
        <v>42</v>
      </c>
      <c r="B110" s="22" t="s">
        <v>59</v>
      </c>
      <c r="C110" s="23">
        <f>C122+C134</f>
        <v>208640.07549137733</v>
      </c>
      <c r="D110" s="23">
        <f>D122+D134</f>
        <v>4.579320623690279</v>
      </c>
    </row>
    <row r="111" spans="1:4" ht="28.5">
      <c r="A111" s="43" t="s">
        <v>61</v>
      </c>
      <c r="B111" s="24" t="s">
        <v>60</v>
      </c>
      <c r="C111" s="25">
        <f>C122</f>
        <v>91238.887374136291</v>
      </c>
      <c r="D111" s="2">
        <f>D122</f>
        <v>2.0025496906619185</v>
      </c>
    </row>
    <row r="112" spans="1:4">
      <c r="A112" s="43"/>
      <c r="B112" s="26" t="s">
        <v>4</v>
      </c>
      <c r="C112" s="33">
        <f>583.8*91.16</f>
        <v>53219.207999999991</v>
      </c>
      <c r="D112" s="2">
        <f>C112/D11/12</f>
        <v>1.1680776868820419</v>
      </c>
    </row>
    <row r="113" spans="1:4" ht="28.5">
      <c r="A113" s="43"/>
      <c r="B113" s="27" t="s">
        <v>5</v>
      </c>
      <c r="C113" s="2">
        <f>C112*0.302</f>
        <v>16072.200815999997</v>
      </c>
      <c r="D113" s="2">
        <f>C113/D11/12</f>
        <v>0.35275946143837666</v>
      </c>
    </row>
    <row r="114" spans="1:4">
      <c r="A114" s="43"/>
      <c r="B114" s="24" t="s">
        <v>6</v>
      </c>
      <c r="C114" s="33">
        <f>583.8*8.19</f>
        <v>4781.3219999999992</v>
      </c>
      <c r="D114" s="2">
        <f>C114/D11/12</f>
        <v>0.10494247757310139</v>
      </c>
    </row>
    <row r="115" spans="1:4">
      <c r="A115" s="43"/>
      <c r="B115" s="3" t="s">
        <v>7</v>
      </c>
      <c r="C115" s="13">
        <f>950*5</f>
        <v>4750</v>
      </c>
      <c r="D115" s="2">
        <f>C115/D11/12</f>
        <v>0.10425500906908836</v>
      </c>
    </row>
    <row r="116" spans="1:4">
      <c r="A116" s="43"/>
      <c r="B116" s="24" t="s">
        <v>8</v>
      </c>
      <c r="C116" s="2">
        <f>C112+C113+C114+C115</f>
        <v>78822.730815999981</v>
      </c>
      <c r="D116" s="2">
        <f>D112+D113+D114+D115</f>
        <v>1.7300346349626083</v>
      </c>
    </row>
    <row r="117" spans="1:4">
      <c r="A117" s="43"/>
      <c r="B117" s="3" t="s">
        <v>9</v>
      </c>
      <c r="C117" s="2">
        <f>C116*5/100</f>
        <v>3941.1365407999988</v>
      </c>
      <c r="D117" s="2">
        <f>C117/D11/12</f>
        <v>8.6501731748130403E-2</v>
      </c>
    </row>
    <row r="118" spans="1:4">
      <c r="A118" s="43"/>
      <c r="B118" s="24" t="s">
        <v>8</v>
      </c>
      <c r="C118" s="2">
        <f>C116+C117</f>
        <v>82763.867356799979</v>
      </c>
      <c r="D118" s="2">
        <f>D116+D117</f>
        <v>1.8165363667107388</v>
      </c>
    </row>
    <row r="119" spans="1:4">
      <c r="A119" s="43"/>
      <c r="B119" s="24" t="s">
        <v>10</v>
      </c>
      <c r="C119" s="2">
        <f>C118*6/100</f>
        <v>4965.832041407999</v>
      </c>
      <c r="D119" s="2">
        <f>C119/D11/12</f>
        <v>0.10899218200264432</v>
      </c>
    </row>
    <row r="120" spans="1:4">
      <c r="A120" s="43"/>
      <c r="B120" s="24" t="s">
        <v>8</v>
      </c>
      <c r="C120" s="2">
        <f>C118+C119</f>
        <v>87729.699398207973</v>
      </c>
      <c r="D120" s="2">
        <f>D118+D119</f>
        <v>1.9255285487133831</v>
      </c>
    </row>
    <row r="121" spans="1:4">
      <c r="A121" s="43"/>
      <c r="B121" s="5" t="s">
        <v>11</v>
      </c>
      <c r="C121" s="2">
        <f>C120*4/100</f>
        <v>3509.1879759283188</v>
      </c>
      <c r="D121" s="2">
        <f>C121/D11/12</f>
        <v>7.7021141948535307E-2</v>
      </c>
    </row>
    <row r="122" spans="1:4">
      <c r="A122" s="43"/>
      <c r="B122" s="5" t="s">
        <v>8</v>
      </c>
      <c r="C122" s="2">
        <f>C120+C121</f>
        <v>91238.887374136291</v>
      </c>
      <c r="D122" s="2">
        <f>D120+D121</f>
        <v>2.0025496906619185</v>
      </c>
    </row>
    <row r="123" spans="1:4" ht="30.75" customHeight="1">
      <c r="A123" s="43" t="s">
        <v>62</v>
      </c>
      <c r="B123" s="24" t="s">
        <v>63</v>
      </c>
      <c r="C123" s="2">
        <f>C134</f>
        <v>117401.18811724104</v>
      </c>
      <c r="D123" s="2">
        <f>D134</f>
        <v>2.576770933028361</v>
      </c>
    </row>
    <row r="124" spans="1:4">
      <c r="A124" s="43"/>
      <c r="B124" s="26" t="s">
        <v>4</v>
      </c>
      <c r="C124" s="13">
        <f>2424.7*29.52</f>
        <v>71577.144</v>
      </c>
      <c r="D124" s="2">
        <f>C124/D11/12</f>
        <v>1.5710054309177777</v>
      </c>
    </row>
    <row r="125" spans="1:4" ht="28.5">
      <c r="A125" s="43"/>
      <c r="B125" s="27" t="s">
        <v>5</v>
      </c>
      <c r="C125" s="2">
        <f>C124*0.302</f>
        <v>21616.297488</v>
      </c>
      <c r="D125" s="2">
        <f>C125/D11/12</f>
        <v>0.47444364013716883</v>
      </c>
    </row>
    <row r="126" spans="1:4">
      <c r="A126" s="43"/>
      <c r="B126" s="24" t="s">
        <v>6</v>
      </c>
      <c r="C126" s="13">
        <f>2424.7*1.91</f>
        <v>4631.1769999999997</v>
      </c>
      <c r="D126" s="2">
        <f>C126/D11/12</f>
        <v>0.10164703160748494</v>
      </c>
    </row>
    <row r="127" spans="1:4">
      <c r="A127" s="43"/>
      <c r="B127" s="3" t="s">
        <v>12</v>
      </c>
      <c r="C127" s="13">
        <f>(64000+12000)/51186.1*2424.7</f>
        <v>3600.1414446500121</v>
      </c>
      <c r="D127" s="2">
        <f>C127/D11/12</f>
        <v>7.9017427149892183E-2</v>
      </c>
    </row>
    <row r="128" spans="1:4">
      <c r="A128" s="43"/>
      <c r="B128" s="24" t="s">
        <v>8</v>
      </c>
      <c r="C128" s="2">
        <f>C124+C125+C126+C127</f>
        <v>101424.75993265001</v>
      </c>
      <c r="D128" s="2">
        <f>D124+D125+D126+D127</f>
        <v>2.2261135298123236</v>
      </c>
    </row>
    <row r="129" spans="1:6">
      <c r="A129" s="43"/>
      <c r="B129" s="3" t="s">
        <v>9</v>
      </c>
      <c r="C129" s="2">
        <f>C128*5/100</f>
        <v>5071.2379966325007</v>
      </c>
      <c r="D129" s="2">
        <f>C129/D11/12</f>
        <v>0.11130567649061618</v>
      </c>
    </row>
    <row r="130" spans="1:6">
      <c r="A130" s="43"/>
      <c r="B130" s="24" t="s">
        <v>8</v>
      </c>
      <c r="C130" s="2">
        <f>C128+C129</f>
        <v>106495.9979292825</v>
      </c>
      <c r="D130" s="2">
        <f>D128+D129</f>
        <v>2.3374192063029398</v>
      </c>
    </row>
    <row r="131" spans="1:6">
      <c r="A131" s="43"/>
      <c r="B131" s="24" t="s">
        <v>10</v>
      </c>
      <c r="C131" s="2">
        <f>C130*6/100</f>
        <v>6389.7598757569504</v>
      </c>
      <c r="D131" s="2">
        <f>C131/D11/12</f>
        <v>0.14024515237817639</v>
      </c>
    </row>
    <row r="132" spans="1:6">
      <c r="A132" s="43"/>
      <c r="B132" s="24" t="s">
        <v>8</v>
      </c>
      <c r="C132" s="2">
        <f>C130+C131</f>
        <v>112885.75780503945</v>
      </c>
      <c r="D132" s="2">
        <f>D130+D131</f>
        <v>2.4776643586811162</v>
      </c>
    </row>
    <row r="133" spans="1:6">
      <c r="A133" s="43"/>
      <c r="B133" s="5" t="s">
        <v>11</v>
      </c>
      <c r="C133" s="2">
        <f>C132*4/100</f>
        <v>4515.4303122015781</v>
      </c>
      <c r="D133" s="2">
        <f>C133/D11/12</f>
        <v>9.9106574347244639E-2</v>
      </c>
    </row>
    <row r="134" spans="1:6">
      <c r="A134" s="43"/>
      <c r="B134" s="5" t="s">
        <v>8</v>
      </c>
      <c r="C134" s="2">
        <f>C132+C133</f>
        <v>117401.18811724104</v>
      </c>
      <c r="D134" s="2">
        <f>D132+D133</f>
        <v>2.576770933028361</v>
      </c>
    </row>
    <row r="135" spans="1:6" ht="44.25" customHeight="1">
      <c r="A135" s="42" t="s">
        <v>64</v>
      </c>
      <c r="B135" s="5" t="s">
        <v>65</v>
      </c>
      <c r="C135" s="4">
        <f>C139+C147+C143</f>
        <v>2485.3043200000002</v>
      </c>
      <c r="D135" s="4">
        <f>D139+D147+D143</f>
        <v>5.4548510404430428E-2</v>
      </c>
      <c r="F135" s="17"/>
    </row>
    <row r="136" spans="1:6">
      <c r="A136" s="43" t="s">
        <v>35</v>
      </c>
      <c r="B136" s="5" t="s">
        <v>139</v>
      </c>
      <c r="C136" s="46"/>
      <c r="D136" s="4"/>
    </row>
    <row r="137" spans="1:6">
      <c r="A137" s="43"/>
      <c r="B137" s="24" t="s">
        <v>10</v>
      </c>
      <c r="C137" s="2">
        <f>5116.89*6/100</f>
        <v>307.01340000000005</v>
      </c>
      <c r="D137" s="2">
        <f>C137/12/D11</f>
        <v>6.7384599581750857E-3</v>
      </c>
    </row>
    <row r="138" spans="1:6">
      <c r="A138" s="43"/>
      <c r="B138" s="5" t="s">
        <v>11</v>
      </c>
      <c r="C138" s="2">
        <f>(5116.89+C137)*4/100</f>
        <v>216.95613600000001</v>
      </c>
      <c r="D138" s="2">
        <f>C138/12/D11</f>
        <v>4.7618450371103935E-3</v>
      </c>
    </row>
    <row r="139" spans="1:6">
      <c r="A139" s="43"/>
      <c r="B139" s="5" t="s">
        <v>8</v>
      </c>
      <c r="C139" s="2">
        <f>C137+C138</f>
        <v>523.96953600000006</v>
      </c>
      <c r="D139" s="2">
        <f>D137+D138</f>
        <v>1.1500304995285478E-2</v>
      </c>
    </row>
    <row r="140" spans="1:6">
      <c r="A140" s="55" t="s">
        <v>36</v>
      </c>
      <c r="B140" s="5" t="s">
        <v>140</v>
      </c>
      <c r="C140" s="46"/>
      <c r="D140" s="4"/>
    </row>
    <row r="141" spans="1:6">
      <c r="A141" s="55"/>
      <c r="B141" s="24" t="s">
        <v>10</v>
      </c>
      <c r="C141" s="2">
        <f xml:space="preserve"> 4531.22*6/100</f>
        <v>271.8732</v>
      </c>
      <c r="D141" s="2">
        <f>C141/12/D11</f>
        <v>5.9671879856088572E-3</v>
      </c>
    </row>
    <row r="142" spans="1:6">
      <c r="A142" s="55"/>
      <c r="B142" s="5" t="s">
        <v>11</v>
      </c>
      <c r="C142" s="2">
        <f>( 4531.22+C141)*4/100</f>
        <v>192.123728</v>
      </c>
      <c r="D142" s="2">
        <f>C142/12/D11</f>
        <v>4.2168128431635922E-3</v>
      </c>
    </row>
    <row r="143" spans="1:6">
      <c r="A143" s="55"/>
      <c r="B143" s="5" t="s">
        <v>8</v>
      </c>
      <c r="C143" s="2">
        <f t="shared" ref="C143:D143" si="0">C141+C142</f>
        <v>463.99692800000003</v>
      </c>
      <c r="D143" s="2">
        <f t="shared" si="0"/>
        <v>1.0184000828772449E-2</v>
      </c>
    </row>
    <row r="144" spans="1:6">
      <c r="A144" s="43" t="s">
        <v>42</v>
      </c>
      <c r="B144" s="5" t="s">
        <v>141</v>
      </c>
      <c r="C144" s="46"/>
      <c r="D144" s="4"/>
    </row>
    <row r="145" spans="1:5">
      <c r="A145" s="43"/>
      <c r="B145" s="24" t="s">
        <v>10</v>
      </c>
      <c r="C145" s="2">
        <f>14622.44*6/100</f>
        <v>877.34640000000002</v>
      </c>
      <c r="D145" s="2">
        <f>C145/12/D11</f>
        <v>1.9256369871312008E-2</v>
      </c>
    </row>
    <row r="146" spans="1:5">
      <c r="A146" s="43"/>
      <c r="B146" s="5" t="s">
        <v>11</v>
      </c>
      <c r="C146" s="2">
        <f>(14622.44+C145)*4/100</f>
        <v>619.99145600000008</v>
      </c>
      <c r="D146" s="2">
        <f>C146/12/D11</f>
        <v>1.3607834709060485E-2</v>
      </c>
    </row>
    <row r="147" spans="1:5">
      <c r="A147" s="43"/>
      <c r="B147" s="5" t="s">
        <v>8</v>
      </c>
      <c r="C147" s="2">
        <f t="shared" ref="C147:D147" si="1">C145+C146</f>
        <v>1497.3378560000001</v>
      </c>
      <c r="D147" s="2">
        <f t="shared" si="1"/>
        <v>3.2864204580372494E-2</v>
      </c>
    </row>
    <row r="148" spans="1:5">
      <c r="A148" s="43"/>
      <c r="B148" s="6" t="s">
        <v>30</v>
      </c>
      <c r="C148" s="2">
        <f>C12+C47+C135</f>
        <v>917424.54119912244</v>
      </c>
      <c r="D148" s="2">
        <f>D12+D47+D135</f>
        <v>20.140151814902474</v>
      </c>
      <c r="E148" s="17"/>
    </row>
    <row r="149" spans="1:5" ht="28.5">
      <c r="A149" s="42" t="s">
        <v>66</v>
      </c>
      <c r="B149" s="24" t="s">
        <v>67</v>
      </c>
      <c r="C149" s="2">
        <v>175589</v>
      </c>
      <c r="D149" s="29">
        <v>3.85</v>
      </c>
    </row>
    <row r="150" spans="1:5">
      <c r="A150" s="43"/>
      <c r="B150" s="41" t="s">
        <v>71</v>
      </c>
      <c r="C150" s="2">
        <f>C148+C149</f>
        <v>1093013.5411991226</v>
      </c>
      <c r="D150" s="2">
        <f>D148+D149</f>
        <v>23.990151814902475</v>
      </c>
    </row>
    <row r="151" spans="1:5">
      <c r="A151" s="42" t="s">
        <v>72</v>
      </c>
      <c r="B151" s="3" t="s">
        <v>73</v>
      </c>
      <c r="C151" s="2">
        <f>D151*12*D11</f>
        <v>91122.72</v>
      </c>
      <c r="D151" s="2">
        <v>2</v>
      </c>
    </row>
    <row r="153" spans="1:5">
      <c r="B153" s="8"/>
      <c r="C153" s="15"/>
      <c r="D153" s="8"/>
    </row>
    <row r="154" spans="1:5">
      <c r="B154" s="9" t="s">
        <v>75</v>
      </c>
      <c r="C154" s="16"/>
      <c r="D154" s="10"/>
    </row>
    <row r="155" spans="1:5" ht="15.75">
      <c r="B155" s="30" t="s">
        <v>47</v>
      </c>
      <c r="C155" s="31"/>
      <c r="D155" s="30"/>
    </row>
    <row r="156" spans="1:5" ht="15.75">
      <c r="B156" s="30"/>
      <c r="C156" s="31"/>
      <c r="D156" s="30"/>
    </row>
    <row r="157" spans="1:5">
      <c r="B157" s="72" t="s">
        <v>31</v>
      </c>
      <c r="C157" s="72"/>
      <c r="D157" s="72"/>
    </row>
    <row r="158" spans="1:5" ht="15.75">
      <c r="B158" s="30"/>
      <c r="C158" s="31"/>
      <c r="D158" s="30"/>
    </row>
  </sheetData>
  <mergeCells count="11">
    <mergeCell ref="A9:A10"/>
    <mergeCell ref="B9:B10"/>
    <mergeCell ref="C9:C10"/>
    <mergeCell ref="D9:D10"/>
    <mergeCell ref="B157:D157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1"/>
  <sheetViews>
    <sheetView tabSelected="1" topLeftCell="A22" zoomScale="130" zoomScaleNormal="130" workbookViewId="0">
      <selection activeCell="C151" sqref="C151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87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2109.4</v>
      </c>
    </row>
    <row r="12" spans="1:6">
      <c r="A12" s="42" t="s">
        <v>51</v>
      </c>
      <c r="B12" s="24" t="s">
        <v>52</v>
      </c>
      <c r="C12" s="2">
        <f>C13+C24+C43</f>
        <v>207825.19505919222</v>
      </c>
      <c r="D12" s="2">
        <f>D13+D24+D43</f>
        <v>8.2102807693811926</v>
      </c>
    </row>
    <row r="13" spans="1:6">
      <c r="A13" s="43" t="s">
        <v>35</v>
      </c>
      <c r="B13" s="24" t="s">
        <v>70</v>
      </c>
      <c r="C13" s="2">
        <f>C23</f>
        <v>138390.73168303168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90314.269883993431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C14*0.303</f>
        <v>27365.223774850008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1878.467916793863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119557.9615756373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5977.8980787818646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125535.85965441915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7532.1515792651498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133068.01123368432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5322.7204493473728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138390.73168303168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51765.343376160548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601.10973337403618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12848.720550870024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11947.055950808968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1690.6211251144766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2112.2056796805236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3011.9493584498641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3524.0058119052869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262.98550835114082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4247.7419308876269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3178.3677152152163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1296.1428625877654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44720.90622724493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2236.0453113622466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46956.95153860718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2817.4170923164306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49774.368630923607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1990.9747452369443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51765.343376160548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17669.12</v>
      </c>
      <c r="D43" s="2">
        <f>D46</f>
        <v>0.69803103568155234</v>
      </c>
    </row>
    <row r="44" spans="1:5">
      <c r="A44" s="43"/>
      <c r="B44" s="5" t="s">
        <v>28</v>
      </c>
      <c r="C44" s="46">
        <v>16017.88</v>
      </c>
      <c r="D44" s="4">
        <f>C44/12/D11</f>
        <v>0.63279763597863525</v>
      </c>
    </row>
    <row r="45" spans="1:5" ht="19.5" customHeight="1">
      <c r="A45" s="43"/>
      <c r="B45" s="5" t="s">
        <v>29</v>
      </c>
      <c r="C45" s="46">
        <v>1651.24</v>
      </c>
      <c r="D45" s="4">
        <f>C45/12/D11</f>
        <v>6.5233399702917097E-2</v>
      </c>
    </row>
    <row r="46" spans="1:5">
      <c r="A46" s="43"/>
      <c r="B46" s="5" t="s">
        <v>8</v>
      </c>
      <c r="C46" s="4">
        <f>C44+C45</f>
        <v>17669.12</v>
      </c>
      <c r="D46" s="4">
        <f>D44+D45</f>
        <v>0.69803103568155234</v>
      </c>
      <c r="E46" s="45"/>
    </row>
    <row r="47" spans="1:5">
      <c r="A47" s="42" t="s">
        <v>54</v>
      </c>
      <c r="B47" s="5" t="s">
        <v>55</v>
      </c>
      <c r="C47" s="2">
        <f>C48+C59+C103</f>
        <v>315578.0603156336</v>
      </c>
      <c r="D47" s="2">
        <f>D48+D59+D103</f>
        <v>12.467133636564643</v>
      </c>
    </row>
    <row r="48" spans="1:5" ht="47.25" customHeight="1">
      <c r="A48" s="43" t="s">
        <v>35</v>
      </c>
      <c r="B48" s="28" t="s">
        <v>46</v>
      </c>
      <c r="C48" s="4">
        <f>C58</f>
        <v>23360.366125931447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14057.546213587875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4245.3789565035386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1878.467916793863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20181.393086885277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1009.0696543442639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21190.462741229541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1271.4277644737726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22461.890505703315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898.47562022813258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23360.366125931447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C60+C72+C83+C94+C102</f>
        <v>165376.86028489031</v>
      </c>
      <c r="D59" s="23">
        <f>D60+D72+D83+D94+D102</f>
        <v>6.5333293940176613</v>
      </c>
      <c r="G59" s="17"/>
    </row>
    <row r="60" spans="1:7">
      <c r="A60" s="43" t="s">
        <v>38</v>
      </c>
      <c r="B60" s="24" t="s">
        <v>40</v>
      </c>
      <c r="C60" s="2">
        <f>C71</f>
        <v>38797.040238174697</v>
      </c>
      <c r="D60" s="2">
        <f>D71</f>
        <v>1.5327044119249822</v>
      </c>
    </row>
    <row r="61" spans="1:7">
      <c r="A61" s="43"/>
      <c r="B61" s="24" t="s">
        <v>13</v>
      </c>
      <c r="C61" s="2">
        <f>(402940.32+0.5*298665.6)/56146.82*D11</f>
        <v>20748.546744552943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6266.0611168549885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1502.7743334350905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0.19752852311873834</v>
      </c>
    </row>
    <row r="65" spans="1:4">
      <c r="A65" s="43"/>
      <c r="B65" s="24" t="s">
        <v>8</v>
      </c>
      <c r="C65" s="2">
        <f>C61+C62+C63+C64</f>
        <v>33517.38219484302</v>
      </c>
      <c r="D65" s="2">
        <f>D61+D62+D63+D64</f>
        <v>1.3241278007507276</v>
      </c>
    </row>
    <row r="66" spans="1:4">
      <c r="A66" s="43"/>
      <c r="B66" s="3" t="s">
        <v>9</v>
      </c>
      <c r="C66" s="2">
        <f>C65*5/100</f>
        <v>1675.8691097421511</v>
      </c>
      <c r="D66" s="2">
        <f>D65*5/100</f>
        <v>6.6206390037536381E-2</v>
      </c>
    </row>
    <row r="67" spans="1:4">
      <c r="A67" s="43"/>
      <c r="B67" s="24" t="s">
        <v>8</v>
      </c>
      <c r="C67" s="2">
        <f>C65+C66</f>
        <v>35193.251304585174</v>
      </c>
      <c r="D67" s="2">
        <f>D65+D66</f>
        <v>1.390334190788264</v>
      </c>
    </row>
    <row r="68" spans="1:4">
      <c r="A68" s="43"/>
      <c r="B68" s="24" t="s">
        <v>10</v>
      </c>
      <c r="C68" s="2">
        <f>C67*6/100</f>
        <v>2111.5950782751106</v>
      </c>
      <c r="D68" s="2">
        <f>D67*6/100</f>
        <v>8.3420051447295834E-2</v>
      </c>
    </row>
    <row r="69" spans="1:4">
      <c r="A69" s="43"/>
      <c r="B69" s="24" t="s">
        <v>8</v>
      </c>
      <c r="C69" s="2">
        <f>C67+C68</f>
        <v>37304.846382860283</v>
      </c>
      <c r="D69" s="2">
        <f>D67+D68</f>
        <v>1.4737542422355598</v>
      </c>
    </row>
    <row r="70" spans="1:4">
      <c r="A70" s="43"/>
      <c r="B70" s="5" t="s">
        <v>11</v>
      </c>
      <c r="C70" s="2">
        <f>C69*4/100</f>
        <v>1492.1938553144114</v>
      </c>
      <c r="D70" s="2">
        <f>D69*4/100</f>
        <v>5.8950169689422391E-2</v>
      </c>
    </row>
    <row r="71" spans="1:4">
      <c r="A71" s="43"/>
      <c r="B71" s="5" t="s">
        <v>8</v>
      </c>
      <c r="C71" s="2">
        <f>C69+C70</f>
        <v>38797.040238174697</v>
      </c>
      <c r="D71" s="2">
        <f>D69+D70</f>
        <v>1.5327044119249822</v>
      </c>
    </row>
    <row r="72" spans="1:4">
      <c r="A72" s="43" t="s">
        <v>39</v>
      </c>
      <c r="B72" s="24" t="s">
        <v>41</v>
      </c>
      <c r="C72" s="2">
        <f>C82</f>
        <v>13940.146964601396</v>
      </c>
      <c r="D72" s="2">
        <f>D82</f>
        <v>0.55071532839517534</v>
      </c>
    </row>
    <row r="73" spans="1:4">
      <c r="A73" s="43"/>
      <c r="B73" s="24" t="s">
        <v>13</v>
      </c>
      <c r="C73" s="2">
        <f>(171109.32+0.2*298665.6)/56146.82*D11</f>
        <v>8672.6023474882459</v>
      </c>
      <c r="D73" s="2">
        <f>C73/D11/12</f>
        <v>0.34261726665909126</v>
      </c>
    </row>
    <row r="74" spans="1:4" ht="28.5">
      <c r="A74" s="43"/>
      <c r="B74" s="27" t="s">
        <v>5</v>
      </c>
      <c r="C74" s="2">
        <f>C73*0.302</f>
        <v>2619.1259089414502</v>
      </c>
      <c r="D74" s="2">
        <f>C74/D11/12</f>
        <v>0.10347041453104557</v>
      </c>
    </row>
    <row r="75" spans="1:4">
      <c r="A75" s="43"/>
      <c r="B75" s="24" t="s">
        <v>6</v>
      </c>
      <c r="C75" s="13">
        <f>20000/56146.82*D11</f>
        <v>751.38716671754526</v>
      </c>
      <c r="D75" s="2">
        <f>C75/D11/12</f>
        <v>2.9684079466417986E-2</v>
      </c>
    </row>
    <row r="76" spans="1:4">
      <c r="A76" s="43"/>
      <c r="B76" s="24" t="s">
        <v>8</v>
      </c>
      <c r="C76" s="2">
        <f>C73+C74+C75</f>
        <v>12043.115423147241</v>
      </c>
      <c r="D76" s="2">
        <f>D73+D74+D75</f>
        <v>0.4757717606565548</v>
      </c>
    </row>
    <row r="77" spans="1:4">
      <c r="A77" s="43"/>
      <c r="B77" s="3" t="s">
        <v>9</v>
      </c>
      <c r="C77" s="2">
        <f>C76*5/100</f>
        <v>602.15577115736198</v>
      </c>
      <c r="D77" s="2">
        <f>D76*5/100</f>
        <v>2.3788588032827736E-2</v>
      </c>
    </row>
    <row r="78" spans="1:4">
      <c r="A78" s="43"/>
      <c r="B78" s="24" t="s">
        <v>8</v>
      </c>
      <c r="C78" s="2">
        <f>C76+C77</f>
        <v>12645.271194304603</v>
      </c>
      <c r="D78" s="2">
        <f>D76+D77</f>
        <v>0.49956034868938254</v>
      </c>
    </row>
    <row r="79" spans="1:4">
      <c r="A79" s="43"/>
      <c r="B79" s="24" t="s">
        <v>10</v>
      </c>
      <c r="C79" s="2">
        <f>C78*6/100</f>
        <v>758.71627165827624</v>
      </c>
      <c r="D79" s="2">
        <f>D78*6/100</f>
        <v>2.9973620921362954E-2</v>
      </c>
    </row>
    <row r="80" spans="1:4">
      <c r="A80" s="43"/>
      <c r="B80" s="24" t="s">
        <v>8</v>
      </c>
      <c r="C80" s="2">
        <f>C78+C79</f>
        <v>13403.98746596288</v>
      </c>
      <c r="D80" s="2">
        <f>D78+D79</f>
        <v>0.5295339696107455</v>
      </c>
    </row>
    <row r="81" spans="1:4">
      <c r="A81" s="43"/>
      <c r="B81" s="5" t="s">
        <v>11</v>
      </c>
      <c r="C81" s="2">
        <f>C80*4/100</f>
        <v>536.15949863851517</v>
      </c>
      <c r="D81" s="2">
        <f>D80*4/100</f>
        <v>2.1181358784429821E-2</v>
      </c>
    </row>
    <row r="82" spans="1:4">
      <c r="A82" s="43"/>
      <c r="B82" s="5" t="s">
        <v>8</v>
      </c>
      <c r="C82" s="2">
        <f>C80+C81</f>
        <v>13940.146964601396</v>
      </c>
      <c r="D82" s="2">
        <f>D80+D81</f>
        <v>0.55071532839517534</v>
      </c>
    </row>
    <row r="83" spans="1:4" ht="30.75" customHeight="1">
      <c r="A83" s="43" t="s">
        <v>56</v>
      </c>
      <c r="B83" s="28" t="s">
        <v>43</v>
      </c>
      <c r="C83" s="2">
        <f>C93</f>
        <v>84511.937082114222</v>
      </c>
      <c r="D83" s="2">
        <f>D93</f>
        <v>3.3387036235467509</v>
      </c>
    </row>
    <row r="84" spans="1:4">
      <c r="A84" s="43"/>
      <c r="B84" s="24" t="s">
        <v>13</v>
      </c>
      <c r="C84" s="2">
        <f>(1395324.48+0.3*298665.6)/56146.82*D11</f>
        <v>55787.647868641536</v>
      </c>
      <c r="D84" s="2">
        <f>C84/D11/12</f>
        <v>2.2039303383521989</v>
      </c>
    </row>
    <row r="85" spans="1:4" ht="28.5">
      <c r="A85" s="43"/>
      <c r="B85" s="27" t="s">
        <v>5</v>
      </c>
      <c r="C85" s="2">
        <f>C84*0.302</f>
        <v>16847.869656329742</v>
      </c>
      <c r="D85" s="2">
        <f>D84*0.302</f>
        <v>0.66558696218236402</v>
      </c>
    </row>
    <row r="86" spans="1:4">
      <c r="A86" s="43"/>
      <c r="B86" s="24" t="s">
        <v>6</v>
      </c>
      <c r="C86" s="13">
        <f>10000/56146.82*D11</f>
        <v>375.69358335877263</v>
      </c>
      <c r="D86" s="2">
        <f>C86/D11/12</f>
        <v>1.4842039733208993E-2</v>
      </c>
    </row>
    <row r="87" spans="1:4">
      <c r="A87" s="43"/>
      <c r="B87" s="24" t="s">
        <v>15</v>
      </c>
      <c r="C87" s="2">
        <f>C84+C85+C86</f>
        <v>73011.211108330055</v>
      </c>
      <c r="D87" s="2">
        <f>D84+D85+D86</f>
        <v>2.8843593402677716</v>
      </c>
    </row>
    <row r="88" spans="1:4">
      <c r="A88" s="43"/>
      <c r="B88" s="3" t="s">
        <v>9</v>
      </c>
      <c r="C88" s="2">
        <f>C87*5/100</f>
        <v>3650.5605554165027</v>
      </c>
      <c r="D88" s="2">
        <f>D87*5/100</f>
        <v>0.14421796701338857</v>
      </c>
    </row>
    <row r="89" spans="1:4">
      <c r="A89" s="43"/>
      <c r="B89" s="24" t="s">
        <v>8</v>
      </c>
      <c r="C89" s="2">
        <f>C87+C88</f>
        <v>76661.771663746564</v>
      </c>
      <c r="D89" s="2">
        <f>D87+D88</f>
        <v>3.0285773072811604</v>
      </c>
    </row>
    <row r="90" spans="1:4">
      <c r="A90" s="43"/>
      <c r="B90" s="24" t="s">
        <v>10</v>
      </c>
      <c r="C90" s="2">
        <f>C89*6/100</f>
        <v>4599.7062998247939</v>
      </c>
      <c r="D90" s="2">
        <f>D89*6/100</f>
        <v>0.18171463843686961</v>
      </c>
    </row>
    <row r="91" spans="1:4">
      <c r="A91" s="43"/>
      <c r="B91" s="24" t="s">
        <v>8</v>
      </c>
      <c r="C91" s="2">
        <f>C89+C90</f>
        <v>81261.477963571364</v>
      </c>
      <c r="D91" s="2">
        <f>D89+D90</f>
        <v>3.2102919457180299</v>
      </c>
    </row>
    <row r="92" spans="1:4">
      <c r="A92" s="43"/>
      <c r="B92" s="5" t="s">
        <v>11</v>
      </c>
      <c r="C92" s="2">
        <f>C91*4/100</f>
        <v>3250.4591185428544</v>
      </c>
      <c r="D92" s="2">
        <f>D91*4/100</f>
        <v>0.1284116778287212</v>
      </c>
    </row>
    <row r="93" spans="1:4">
      <c r="A93" s="43"/>
      <c r="B93" s="5" t="s">
        <v>8</v>
      </c>
      <c r="C93" s="2">
        <f>C91+C92</f>
        <v>84511.937082114222</v>
      </c>
      <c r="D93" s="2">
        <f>D91+D92</f>
        <v>3.3387036235467509</v>
      </c>
    </row>
    <row r="94" spans="1:4" ht="31.5">
      <c r="A94" s="43" t="s">
        <v>57</v>
      </c>
      <c r="B94" s="28" t="s">
        <v>44</v>
      </c>
      <c r="C94" s="23">
        <f>C101</f>
        <v>28127.736000000001</v>
      </c>
      <c r="D94" s="23">
        <f>D101</f>
        <v>1.1112060301507536</v>
      </c>
    </row>
    <row r="95" spans="1:4">
      <c r="A95" s="43"/>
      <c r="B95" s="3" t="s">
        <v>16</v>
      </c>
      <c r="C95" s="13">
        <f>45*180*3</f>
        <v>24300</v>
      </c>
      <c r="D95" s="2">
        <f>C95/D11/12</f>
        <v>0.95998862235706828</v>
      </c>
    </row>
    <row r="96" spans="1:4">
      <c r="A96" s="43"/>
      <c r="B96" s="3" t="s">
        <v>9</v>
      </c>
      <c r="C96" s="2">
        <f>C95*5/100</f>
        <v>1215</v>
      </c>
      <c r="D96" s="2">
        <f>D95*5/100</f>
        <v>4.7999431117853417E-2</v>
      </c>
    </row>
    <row r="97" spans="1:4">
      <c r="A97" s="43"/>
      <c r="B97" s="24" t="s">
        <v>8</v>
      </c>
      <c r="C97" s="2">
        <f>C95+C96</f>
        <v>25515</v>
      </c>
      <c r="D97" s="2">
        <f>D95+D96</f>
        <v>1.0079880534749217</v>
      </c>
    </row>
    <row r="98" spans="1:4">
      <c r="A98" s="43"/>
      <c r="B98" s="24" t="s">
        <v>10</v>
      </c>
      <c r="C98" s="2">
        <f>C97*6/100</f>
        <v>1530.9</v>
      </c>
      <c r="D98" s="2">
        <f>D97*6/100</f>
        <v>6.0479283208495306E-2</v>
      </c>
    </row>
    <row r="99" spans="1:4">
      <c r="A99" s="43"/>
      <c r="B99" s="24" t="s">
        <v>8</v>
      </c>
      <c r="C99" s="2">
        <f>C97+C98</f>
        <v>27045.9</v>
      </c>
      <c r="D99" s="2">
        <f>D97+D98</f>
        <v>1.068467336683417</v>
      </c>
    </row>
    <row r="100" spans="1:4">
      <c r="A100" s="43"/>
      <c r="B100" s="5" t="s">
        <v>11</v>
      </c>
      <c r="C100" s="2">
        <f>C99*4/100</f>
        <v>1081.836</v>
      </c>
      <c r="D100" s="2">
        <f>D99*4/100</f>
        <v>4.2738693467336678E-2</v>
      </c>
    </row>
    <row r="101" spans="1:4">
      <c r="A101" s="43"/>
      <c r="B101" s="5" t="s">
        <v>8</v>
      </c>
      <c r="C101" s="2">
        <f>C99+C100</f>
        <v>28127.736000000001</v>
      </c>
      <c r="D101" s="2">
        <f>D99+D100</f>
        <v>1.1112060301507536</v>
      </c>
    </row>
    <row r="102" spans="1:4" ht="31.5">
      <c r="A102" s="43" t="s">
        <v>58</v>
      </c>
      <c r="B102" s="28" t="s">
        <v>88</v>
      </c>
      <c r="C102" s="13">
        <v>0</v>
      </c>
      <c r="D102" s="13">
        <v>0</v>
      </c>
    </row>
    <row r="103" spans="1:4" ht="29.25">
      <c r="A103" s="37" t="s">
        <v>42</v>
      </c>
      <c r="B103" s="22" t="s">
        <v>59</v>
      </c>
      <c r="C103" s="23">
        <f>C115+C127</f>
        <v>126840.83390481184</v>
      </c>
      <c r="D103" s="23">
        <f>D115+D127</f>
        <v>5.0109365184733337</v>
      </c>
    </row>
    <row r="104" spans="1:4" ht="28.5">
      <c r="A104" s="43" t="s">
        <v>61</v>
      </c>
      <c r="B104" s="24" t="s">
        <v>60</v>
      </c>
      <c r="C104" s="25">
        <f>C115</f>
        <v>39420.598351680004</v>
      </c>
      <c r="D104" s="2">
        <f>D115</f>
        <v>1.5573385145728642</v>
      </c>
    </row>
    <row r="105" spans="1:4">
      <c r="A105" s="43"/>
      <c r="B105" s="26" t="s">
        <v>4</v>
      </c>
      <c r="C105" s="33">
        <f>262.5*91.16</f>
        <v>23929.5</v>
      </c>
      <c r="D105" s="2">
        <f>C105/D11/12</f>
        <v>0.94535175879396982</v>
      </c>
    </row>
    <row r="106" spans="1:4" ht="28.5">
      <c r="A106" s="43"/>
      <c r="B106" s="27" t="s">
        <v>5</v>
      </c>
      <c r="C106" s="2">
        <f>C105*0.302</f>
        <v>7226.7089999999998</v>
      </c>
      <c r="D106" s="2">
        <f>C106/D11/12</f>
        <v>0.28549623115577888</v>
      </c>
    </row>
    <row r="107" spans="1:4">
      <c r="A107" s="43"/>
      <c r="B107" s="24" t="s">
        <v>6</v>
      </c>
      <c r="C107" s="33">
        <f>262.5*8.19</f>
        <v>2149.875</v>
      </c>
      <c r="D107" s="2">
        <f>C107/D11/12</f>
        <v>8.4932326727979512E-2</v>
      </c>
    </row>
    <row r="108" spans="1:4">
      <c r="A108" s="43"/>
      <c r="B108" s="3" t="s">
        <v>7</v>
      </c>
      <c r="C108" s="13">
        <f>150*5</f>
        <v>750</v>
      </c>
      <c r="D108" s="2">
        <f>C108/D11/12</f>
        <v>2.9629278467810754E-2</v>
      </c>
    </row>
    <row r="109" spans="1:4">
      <c r="A109" s="43"/>
      <c r="B109" s="24" t="s">
        <v>8</v>
      </c>
      <c r="C109" s="2">
        <f>C105+C106+C107+C108</f>
        <v>34056.084000000003</v>
      </c>
      <c r="D109" s="2">
        <f>D105+D106+D107+D108</f>
        <v>1.3454095951455389</v>
      </c>
    </row>
    <row r="110" spans="1:4">
      <c r="A110" s="43"/>
      <c r="B110" s="3" t="s">
        <v>9</v>
      </c>
      <c r="C110" s="2">
        <f>C109*5/100</f>
        <v>1702.8042</v>
      </c>
      <c r="D110" s="2">
        <f>C110/D11/12</f>
        <v>6.7270479757276944E-2</v>
      </c>
    </row>
    <row r="111" spans="1:4">
      <c r="A111" s="43"/>
      <c r="B111" s="24" t="s">
        <v>8</v>
      </c>
      <c r="C111" s="2">
        <f>C109+C110</f>
        <v>35758.888200000001</v>
      </c>
      <c r="D111" s="2">
        <f>D109+D110</f>
        <v>1.4126800749028159</v>
      </c>
    </row>
    <row r="112" spans="1:4">
      <c r="A112" s="43"/>
      <c r="B112" s="24" t="s">
        <v>10</v>
      </c>
      <c r="C112" s="2">
        <f>C111*6/100</f>
        <v>2145.5332920000001</v>
      </c>
      <c r="D112" s="2">
        <f>C112/D11/12</f>
        <v>8.4760804494168951E-2</v>
      </c>
    </row>
    <row r="113" spans="1:6">
      <c r="A113" s="43"/>
      <c r="B113" s="24" t="s">
        <v>8</v>
      </c>
      <c r="C113" s="2">
        <f>C111+C112</f>
        <v>37904.421492000001</v>
      </c>
      <c r="D113" s="2">
        <f>D111+D112</f>
        <v>1.4974408793969849</v>
      </c>
    </row>
    <row r="114" spans="1:6">
      <c r="A114" s="43"/>
      <c r="B114" s="5" t="s">
        <v>11</v>
      </c>
      <c r="C114" s="2">
        <f>C113*4/100</f>
        <v>1516.17685968</v>
      </c>
      <c r="D114" s="2">
        <f>C114/D11/12</f>
        <v>5.9897635175879399E-2</v>
      </c>
    </row>
    <row r="115" spans="1:6">
      <c r="A115" s="43"/>
      <c r="B115" s="5" t="s">
        <v>8</v>
      </c>
      <c r="C115" s="2">
        <f>C113+C114</f>
        <v>39420.598351680004</v>
      </c>
      <c r="D115" s="2">
        <f>D113+D114</f>
        <v>1.5573385145728642</v>
      </c>
    </row>
    <row r="116" spans="1:6" ht="30.75" customHeight="1">
      <c r="A116" s="43" t="s">
        <v>62</v>
      </c>
      <c r="B116" s="24" t="s">
        <v>63</v>
      </c>
      <c r="C116" s="2">
        <f>C127</f>
        <v>87420.235553131832</v>
      </c>
      <c r="D116" s="2">
        <f>D127</f>
        <v>3.4535980039004697</v>
      </c>
    </row>
    <row r="117" spans="1:6">
      <c r="A117" s="43"/>
      <c r="B117" s="26" t="s">
        <v>4</v>
      </c>
      <c r="C117" s="13">
        <f>1805.5*29.52</f>
        <v>53298.36</v>
      </c>
      <c r="D117" s="2">
        <f>C117/D11/12</f>
        <v>2.1055892670901675</v>
      </c>
    </row>
    <row r="118" spans="1:6" ht="28.5">
      <c r="A118" s="43"/>
      <c r="B118" s="27" t="s">
        <v>5</v>
      </c>
      <c r="C118" s="2">
        <f>C117*0.302</f>
        <v>16096.104719999999</v>
      </c>
      <c r="D118" s="2">
        <f>C118/D11/12</f>
        <v>0.6358879586612306</v>
      </c>
    </row>
    <row r="119" spans="1:6">
      <c r="A119" s="43"/>
      <c r="B119" s="24" t="s">
        <v>6</v>
      </c>
      <c r="C119" s="13">
        <f>1805.5*1.91</f>
        <v>3448.5049999999997</v>
      </c>
      <c r="D119" s="2">
        <f>C119/D11/12</f>
        <v>0.13623561992351693</v>
      </c>
    </row>
    <row r="120" spans="1:6">
      <c r="A120" s="43"/>
      <c r="B120" s="3" t="s">
        <v>12</v>
      </c>
      <c r="C120" s="13">
        <f>(64000+12000)/51186.1*1805.5</f>
        <v>2680.7668488124705</v>
      </c>
      <c r="D120" s="2">
        <f>C120/D11/12</f>
        <v>0.10590558329432027</v>
      </c>
    </row>
    <row r="121" spans="1:6">
      <c r="A121" s="43"/>
      <c r="B121" s="24" t="s">
        <v>8</v>
      </c>
      <c r="C121" s="2">
        <f>C117+C118+C119+C120</f>
        <v>75523.736568812485</v>
      </c>
      <c r="D121" s="2">
        <f>D117+D118+D119+D120</f>
        <v>2.9836184289692356</v>
      </c>
    </row>
    <row r="122" spans="1:6">
      <c r="A122" s="43"/>
      <c r="B122" s="3" t="s">
        <v>9</v>
      </c>
      <c r="C122" s="2">
        <f>C121*5/100</f>
        <v>3776.1868284406246</v>
      </c>
      <c r="D122" s="2">
        <f>C122/D11/12</f>
        <v>0.14918092144846182</v>
      </c>
    </row>
    <row r="123" spans="1:6">
      <c r="A123" s="43"/>
      <c r="B123" s="24" t="s">
        <v>8</v>
      </c>
      <c r="C123" s="2">
        <f>C121+C122</f>
        <v>79299.923397253107</v>
      </c>
      <c r="D123" s="2">
        <f>D121+D122</f>
        <v>3.1327993504176974</v>
      </c>
    </row>
    <row r="124" spans="1:6">
      <c r="A124" s="43"/>
      <c r="B124" s="24" t="s">
        <v>10</v>
      </c>
      <c r="C124" s="2">
        <f>C123*6/100</f>
        <v>4757.9954038351871</v>
      </c>
      <c r="D124" s="2">
        <f>C124/D11/12</f>
        <v>0.18796796102506189</v>
      </c>
    </row>
    <row r="125" spans="1:6">
      <c r="A125" s="43"/>
      <c r="B125" s="24" t="s">
        <v>8</v>
      </c>
      <c r="C125" s="2">
        <f>C123+C124</f>
        <v>84057.918801088294</v>
      </c>
      <c r="D125" s="2">
        <f>D123+D124</f>
        <v>3.3207673114427592</v>
      </c>
    </row>
    <row r="126" spans="1:6">
      <c r="A126" s="43"/>
      <c r="B126" s="5" t="s">
        <v>11</v>
      </c>
      <c r="C126" s="2">
        <f>C125*4/100</f>
        <v>3362.3167520435318</v>
      </c>
      <c r="D126" s="2">
        <f>C126/D11/12</f>
        <v>0.1328306924577104</v>
      </c>
    </row>
    <row r="127" spans="1:6">
      <c r="A127" s="43"/>
      <c r="B127" s="5" t="s">
        <v>8</v>
      </c>
      <c r="C127" s="2">
        <f>C125+C126</f>
        <v>87420.235553131832</v>
      </c>
      <c r="D127" s="2">
        <f>D125+D126</f>
        <v>3.4535980039004697</v>
      </c>
    </row>
    <row r="128" spans="1:6" ht="44.25" customHeight="1">
      <c r="A128" s="42" t="s">
        <v>64</v>
      </c>
      <c r="B128" s="5" t="s">
        <v>65</v>
      </c>
      <c r="C128" s="4">
        <f>C132+C140+C136</f>
        <v>1117.493248</v>
      </c>
      <c r="D128" s="4">
        <f>D132+D140+D136</f>
        <v>4.414735817452041E-2</v>
      </c>
      <c r="F128" s="17"/>
    </row>
    <row r="129" spans="1:5">
      <c r="A129" s="43" t="s">
        <v>35</v>
      </c>
      <c r="B129" s="5" t="s">
        <v>142</v>
      </c>
      <c r="C129" s="46"/>
      <c r="D129" s="4"/>
    </row>
    <row r="130" spans="1:5">
      <c r="A130" s="43"/>
      <c r="B130" s="24" t="s">
        <v>10</v>
      </c>
      <c r="C130" s="2">
        <f xml:space="preserve"> 2300.76*6/100</f>
        <v>138.04560000000001</v>
      </c>
      <c r="D130" s="2">
        <f>C130/12/D11</f>
        <v>5.4535886982080214E-3</v>
      </c>
    </row>
    <row r="131" spans="1:5">
      <c r="A131" s="43"/>
      <c r="B131" s="5" t="s">
        <v>11</v>
      </c>
      <c r="C131" s="2">
        <f xml:space="preserve"> (2300.76+C130)*4/100</f>
        <v>97.55222400000001</v>
      </c>
      <c r="D131" s="2">
        <f>C131/12/D11</f>
        <v>3.8538693467336685E-3</v>
      </c>
    </row>
    <row r="132" spans="1:5">
      <c r="A132" s="43"/>
      <c r="B132" s="5" t="s">
        <v>8</v>
      </c>
      <c r="C132" s="2">
        <f>C130+C131</f>
        <v>235.597824</v>
      </c>
      <c r="D132" s="2">
        <f>D130+D131</f>
        <v>9.3074580449416904E-3</v>
      </c>
    </row>
    <row r="133" spans="1:5">
      <c r="A133" s="55" t="s">
        <v>36</v>
      </c>
      <c r="B133" s="5" t="s">
        <v>143</v>
      </c>
      <c r="C133" s="46"/>
      <c r="D133" s="4"/>
    </row>
    <row r="134" spans="1:5">
      <c r="A134" s="55"/>
      <c r="B134" s="24" t="s">
        <v>10</v>
      </c>
      <c r="C134" s="2">
        <f xml:space="preserve"> 2037.42*6/100</f>
        <v>122.24520000000001</v>
      </c>
      <c r="D134" s="2">
        <f>C134/12/D11</f>
        <v>4.8293827628709592E-3</v>
      </c>
    </row>
    <row r="135" spans="1:5">
      <c r="A135" s="55"/>
      <c r="B135" s="5" t="s">
        <v>11</v>
      </c>
      <c r="C135" s="2">
        <f>( 2037.42+C134)*4/100</f>
        <v>86.386607999999995</v>
      </c>
      <c r="D135" s="2">
        <f>C135/12/D11</f>
        <v>3.4127638190954769E-3</v>
      </c>
    </row>
    <row r="136" spans="1:5">
      <c r="A136" s="55"/>
      <c r="B136" s="5" t="s">
        <v>8</v>
      </c>
      <c r="C136" s="2">
        <f t="shared" ref="C136:D136" si="0">C134+C135</f>
        <v>208.63180800000001</v>
      </c>
      <c r="D136" s="2">
        <f t="shared" si="0"/>
        <v>8.2421465819664357E-3</v>
      </c>
    </row>
    <row r="137" spans="1:5">
      <c r="A137" s="43" t="s">
        <v>42</v>
      </c>
      <c r="B137" s="5" t="s">
        <v>144</v>
      </c>
      <c r="C137" s="46"/>
      <c r="D137" s="4"/>
    </row>
    <row r="138" spans="1:5">
      <c r="A138" s="43"/>
      <c r="B138" s="24" t="s">
        <v>10</v>
      </c>
      <c r="C138" s="2">
        <f xml:space="preserve"> 6574.84*6/100</f>
        <v>394.49040000000002</v>
      </c>
      <c r="D138" s="2">
        <f>C138/12/D11</f>
        <v>1.5584621219304068E-2</v>
      </c>
    </row>
    <row r="139" spans="1:5">
      <c r="A139" s="43"/>
      <c r="B139" s="5" t="s">
        <v>11</v>
      </c>
      <c r="C139" s="2">
        <f>( 6574.84+C138)*4/100</f>
        <v>278.77321599999999</v>
      </c>
      <c r="D139" s="2">
        <f>C139/12/D11</f>
        <v>1.1013132328308207E-2</v>
      </c>
    </row>
    <row r="140" spans="1:5">
      <c r="A140" s="43"/>
      <c r="B140" s="5" t="s">
        <v>8</v>
      </c>
      <c r="C140" s="2">
        <f t="shared" ref="C140:D140" si="1">C138+C139</f>
        <v>673.26361599999996</v>
      </c>
      <c r="D140" s="2">
        <f t="shared" si="1"/>
        <v>2.6597753547612277E-2</v>
      </c>
    </row>
    <row r="141" spans="1:5">
      <c r="A141" s="43"/>
      <c r="B141" s="6" t="s">
        <v>30</v>
      </c>
      <c r="C141" s="2">
        <f>C12+C47+C128</f>
        <v>524520.74862282583</v>
      </c>
      <c r="D141" s="2">
        <f>D12+D47+D128</f>
        <v>20.721561764120356</v>
      </c>
      <c r="E141" s="17"/>
    </row>
    <row r="142" spans="1:5" ht="28.5">
      <c r="A142" s="42" t="s">
        <v>66</v>
      </c>
      <c r="B142" s="24" t="s">
        <v>67</v>
      </c>
      <c r="C142" s="2">
        <v>142040</v>
      </c>
      <c r="D142" s="29">
        <v>5.61</v>
      </c>
    </row>
    <row r="143" spans="1:5" hidden="1">
      <c r="A143" s="43"/>
      <c r="B143" s="6" t="s">
        <v>30</v>
      </c>
      <c r="C143" s="7"/>
      <c r="D143" s="7"/>
    </row>
    <row r="144" spans="1:5" hidden="1">
      <c r="A144" s="42" t="s">
        <v>72</v>
      </c>
      <c r="B144" s="3" t="s">
        <v>73</v>
      </c>
      <c r="C144" s="2">
        <v>0</v>
      </c>
      <c r="D144" s="2">
        <v>0</v>
      </c>
    </row>
    <row r="145" spans="1:4">
      <c r="A145" s="43"/>
      <c r="B145" s="41" t="s">
        <v>71</v>
      </c>
      <c r="C145" s="2">
        <f>C141+C142</f>
        <v>666560.74862282583</v>
      </c>
      <c r="D145" s="2">
        <f>D141+D142</f>
        <v>26.331561764120355</v>
      </c>
    </row>
    <row r="146" spans="1:4">
      <c r="B146" s="8"/>
      <c r="C146" s="15"/>
      <c r="D146" s="8"/>
    </row>
    <row r="147" spans="1:4">
      <c r="B147" s="9" t="s">
        <v>75</v>
      </c>
      <c r="C147" s="16"/>
      <c r="D147" s="10"/>
    </row>
    <row r="148" spans="1:4" ht="15.75">
      <c r="B148" s="30" t="s">
        <v>47</v>
      </c>
      <c r="C148" s="31"/>
      <c r="D148" s="30"/>
    </row>
    <row r="149" spans="1:4" ht="15.75">
      <c r="B149" s="30"/>
      <c r="C149" s="31"/>
      <c r="D149" s="30"/>
    </row>
    <row r="150" spans="1:4">
      <c r="B150" s="72" t="s">
        <v>31</v>
      </c>
      <c r="C150" s="72"/>
      <c r="D150" s="72"/>
    </row>
    <row r="151" spans="1:4" ht="15.75">
      <c r="B151" s="30"/>
      <c r="C151" s="31"/>
      <c r="D151" s="30"/>
    </row>
  </sheetData>
  <mergeCells count="11">
    <mergeCell ref="A9:A10"/>
    <mergeCell ref="B9:B10"/>
    <mergeCell ref="C9:C10"/>
    <mergeCell ref="D9:D10"/>
    <mergeCell ref="B150:D150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topLeftCell="A58" workbookViewId="0">
      <selection activeCell="D141" sqref="D141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48</v>
      </c>
      <c r="C7" s="66"/>
      <c r="D7" s="66"/>
    </row>
    <row r="8" spans="1:6" ht="8.25" customHeight="1">
      <c r="B8" s="39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38"/>
      <c r="B11" s="22" t="s">
        <v>53</v>
      </c>
      <c r="C11" s="2"/>
      <c r="D11" s="2">
        <v>3016</v>
      </c>
    </row>
    <row r="12" spans="1:6">
      <c r="A12" s="42" t="s">
        <v>51</v>
      </c>
      <c r="B12" s="24" t="s">
        <v>52</v>
      </c>
      <c r="C12" s="2">
        <f>C13+C24+C43</f>
        <v>311588.2912469501</v>
      </c>
      <c r="D12" s="2">
        <f>D13+D24+D43</f>
        <v>8.609313971235359</v>
      </c>
    </row>
    <row r="13" spans="1:6">
      <c r="A13" s="38" t="s">
        <v>35</v>
      </c>
      <c r="B13" s="24" t="s">
        <v>70</v>
      </c>
      <c r="C13" s="2">
        <f>C23</f>
        <v>197720.27703888141</v>
      </c>
      <c r="D13" s="2">
        <f>D23</f>
        <v>5.4630934195093221</v>
      </c>
      <c r="F13" s="17"/>
    </row>
    <row r="14" spans="1:6">
      <c r="A14" s="38"/>
      <c r="B14" s="24" t="s">
        <v>13</v>
      </c>
      <c r="C14" s="2">
        <f>(2363756.52+40177.8)/56146.82*D11</f>
        <v>129130.4816393876</v>
      </c>
      <c r="D14" s="2">
        <f>C14/D11/12</f>
        <v>3.5679288693464741</v>
      </c>
    </row>
    <row r="15" spans="1:6" ht="28.5">
      <c r="A15" s="38"/>
      <c r="B15" s="27" t="s">
        <v>5</v>
      </c>
      <c r="C15" s="2">
        <f>C14*0.302</f>
        <v>38997.405455095053</v>
      </c>
      <c r="D15" s="2">
        <f>D14*0.302</f>
        <v>1.0775145185426351</v>
      </c>
    </row>
    <row r="16" spans="1:6">
      <c r="A16" s="38"/>
      <c r="B16" s="24" t="s">
        <v>6</v>
      </c>
      <c r="C16" s="14">
        <f>50000/56146.82*D11</f>
        <v>2685.8155101214993</v>
      </c>
      <c r="D16" s="2">
        <f>C16/D11/12</f>
        <v>7.421019866604496E-2</v>
      </c>
    </row>
    <row r="17" spans="1:4">
      <c r="A17" s="38"/>
      <c r="B17" s="24" t="s">
        <v>8</v>
      </c>
      <c r="C17" s="2">
        <f>C14+C15+C16</f>
        <v>170813.70260460416</v>
      </c>
      <c r="D17" s="2">
        <f>D14+D15+D16</f>
        <v>4.7196535865551548</v>
      </c>
    </row>
    <row r="18" spans="1:4">
      <c r="A18" s="38"/>
      <c r="B18" s="3" t="s">
        <v>9</v>
      </c>
      <c r="C18" s="2">
        <f>C17*5/100</f>
        <v>8540.6851302302075</v>
      </c>
      <c r="D18" s="2">
        <f>D17*5/100</f>
        <v>0.23598267932775774</v>
      </c>
    </row>
    <row r="19" spans="1:4">
      <c r="A19" s="38"/>
      <c r="B19" s="24" t="s">
        <v>8</v>
      </c>
      <c r="C19" s="2">
        <f>C17+C18</f>
        <v>179354.38773483437</v>
      </c>
      <c r="D19" s="2">
        <f>D17+D18</f>
        <v>4.9556362658829123</v>
      </c>
    </row>
    <row r="20" spans="1:4">
      <c r="A20" s="38"/>
      <c r="B20" s="24" t="s">
        <v>10</v>
      </c>
      <c r="C20" s="2">
        <f>C19*6/100</f>
        <v>10761.263264090063</v>
      </c>
      <c r="D20" s="2">
        <f>D19*6/100</f>
        <v>0.29733817595297474</v>
      </c>
    </row>
    <row r="21" spans="1:4">
      <c r="A21" s="38"/>
      <c r="B21" s="24" t="s">
        <v>8</v>
      </c>
      <c r="C21" s="2">
        <f>C19+C20</f>
        <v>190115.65099892442</v>
      </c>
      <c r="D21" s="2">
        <f>D19+D20</f>
        <v>5.252974441835887</v>
      </c>
    </row>
    <row r="22" spans="1:4">
      <c r="A22" s="38"/>
      <c r="B22" s="5" t="s">
        <v>11</v>
      </c>
      <c r="C22" s="2">
        <f>C21*4/100</f>
        <v>7604.6260399569765</v>
      </c>
      <c r="D22" s="2">
        <f>D21*4/100</f>
        <v>0.21011897767343549</v>
      </c>
    </row>
    <row r="23" spans="1:4">
      <c r="A23" s="38"/>
      <c r="B23" s="5" t="s">
        <v>8</v>
      </c>
      <c r="C23" s="2">
        <f>C21+C22</f>
        <v>197720.27703888141</v>
      </c>
      <c r="D23" s="2">
        <f>D21+D22</f>
        <v>5.4630934195093221</v>
      </c>
    </row>
    <row r="24" spans="1:4">
      <c r="A24" s="38" t="s">
        <v>36</v>
      </c>
      <c r="B24" s="24" t="s">
        <v>69</v>
      </c>
      <c r="C24" s="2">
        <f>C42</f>
        <v>74013.594208068738</v>
      </c>
      <c r="D24" s="2">
        <f>D42</f>
        <v>2.0450263651654716</v>
      </c>
    </row>
    <row r="25" spans="1:4">
      <c r="A25" s="38"/>
      <c r="B25" s="3" t="s">
        <v>17</v>
      </c>
      <c r="C25" s="2">
        <f>16000/56146.82*D11</f>
        <v>859.46096323887969</v>
      </c>
      <c r="D25" s="2">
        <f>C25/D11/12</f>
        <v>2.3747263573134388E-2</v>
      </c>
    </row>
    <row r="26" spans="1:4">
      <c r="A26" s="38"/>
      <c r="B26" s="3" t="s">
        <v>18</v>
      </c>
      <c r="C26" s="2">
        <f>((23200+5300)*12)/56146.82*D11</f>
        <v>18370.978089231055</v>
      </c>
      <c r="D26" s="2">
        <f>C26/D11/12</f>
        <v>0.50759775887574754</v>
      </c>
    </row>
    <row r="27" spans="1:4">
      <c r="A27" s="38"/>
      <c r="B27" s="3" t="s">
        <v>19</v>
      </c>
      <c r="C27" s="2">
        <f>26500*12/56146.82*D11</f>
        <v>17081.786644372736</v>
      </c>
      <c r="D27" s="2">
        <f>C27/D11/12</f>
        <v>0.47197686351604595</v>
      </c>
    </row>
    <row r="28" spans="1:4">
      <c r="A28" s="38"/>
      <c r="B28" s="3" t="s">
        <v>20</v>
      </c>
      <c r="C28" s="2">
        <f>45000/56146.82*D11</f>
        <v>2417.2339591093491</v>
      </c>
      <c r="D28" s="2">
        <f>C28/D11/12</f>
        <v>6.6789178799440463E-2</v>
      </c>
    </row>
    <row r="29" spans="1:4">
      <c r="A29" s="38"/>
      <c r="B29" s="3" t="s">
        <v>21</v>
      </c>
      <c r="C29" s="2">
        <f>56221.5/56146.82*D11</f>
        <v>3020.0115340459174</v>
      </c>
      <c r="D29" s="2">
        <f>C29/D11/12</f>
        <v>8.3444173686060941E-2</v>
      </c>
    </row>
    <row r="30" spans="1:4">
      <c r="A30" s="38"/>
      <c r="B30" s="3" t="s">
        <v>22</v>
      </c>
      <c r="C30" s="2">
        <f>80170.37/56146.82*D11</f>
        <v>4306.4564639635873</v>
      </c>
      <c r="D30" s="2">
        <f>C30/D11/12</f>
        <v>0.11898918169660665</v>
      </c>
    </row>
    <row r="31" spans="1:4">
      <c r="A31" s="38"/>
      <c r="B31" s="3" t="s">
        <v>23</v>
      </c>
      <c r="C31" s="2">
        <f>93800/56146.82*D11</f>
        <v>5038.5898969879327</v>
      </c>
      <c r="D31" s="2">
        <f>C31/D11/12</f>
        <v>0.13921833269750036</v>
      </c>
    </row>
    <row r="32" spans="1:4">
      <c r="A32" s="38"/>
      <c r="B32" s="3" t="s">
        <v>24</v>
      </c>
      <c r="C32" s="2">
        <f>7000/56146.82*D11</f>
        <v>376.01417141700989</v>
      </c>
      <c r="D32" s="2">
        <f>C32/D11/12</f>
        <v>1.0389427813246295E-2</v>
      </c>
    </row>
    <row r="33" spans="1:5">
      <c r="A33" s="38"/>
      <c r="B33" s="3" t="s">
        <v>25</v>
      </c>
      <c r="C33" s="2">
        <f>113064/56146.82*D11</f>
        <v>6073.3808967275436</v>
      </c>
      <c r="D33" s="2">
        <f>C33/D11/12</f>
        <v>0.16781003803955416</v>
      </c>
    </row>
    <row r="34" spans="1:5">
      <c r="A34" s="38"/>
      <c r="B34" s="3" t="s">
        <v>26</v>
      </c>
      <c r="C34" s="2">
        <f>84600/56146.82*D11</f>
        <v>4544.3998431255768</v>
      </c>
      <c r="D34" s="2">
        <f>C34/D11/12</f>
        <v>0.12556365614294809</v>
      </c>
    </row>
    <row r="35" spans="1:5">
      <c r="A35" s="38"/>
      <c r="B35" s="3" t="s">
        <v>27</v>
      </c>
      <c r="C35" s="2">
        <f>34500/56146.82*D11</f>
        <v>1853.2127019838344</v>
      </c>
      <c r="D35" s="2">
        <f>C35/D11/12</f>
        <v>5.1205037079571025E-2</v>
      </c>
    </row>
    <row r="36" spans="1:5">
      <c r="A36" s="38"/>
      <c r="B36" s="24" t="s">
        <v>8</v>
      </c>
      <c r="C36" s="2">
        <f>SUM(C25:C35)</f>
        <v>63941.525164203413</v>
      </c>
      <c r="D36" s="2">
        <f>SUM(D25:D35)</f>
        <v>1.766730911919856</v>
      </c>
    </row>
    <row r="37" spans="1:5">
      <c r="A37" s="38"/>
      <c r="B37" s="3" t="s">
        <v>9</v>
      </c>
      <c r="C37" s="2">
        <f>C36*5/100</f>
        <v>3197.0762582101706</v>
      </c>
      <c r="D37" s="2">
        <f>D36*5/100</f>
        <v>8.8336545595992799E-2</v>
      </c>
    </row>
    <row r="38" spans="1:5">
      <c r="A38" s="38"/>
      <c r="B38" s="24" t="s">
        <v>8</v>
      </c>
      <c r="C38" s="2">
        <f>C36+C37</f>
        <v>67138.601422413587</v>
      </c>
      <c r="D38" s="2">
        <f>D36+D37</f>
        <v>1.8550674575158488</v>
      </c>
    </row>
    <row r="39" spans="1:5">
      <c r="A39" s="38"/>
      <c r="B39" s="24" t="s">
        <v>10</v>
      </c>
      <c r="C39" s="2">
        <f>C38*6/100</f>
        <v>4028.3160853448148</v>
      </c>
      <c r="D39" s="2">
        <f>D38*6/100</f>
        <v>0.11130404745095092</v>
      </c>
    </row>
    <row r="40" spans="1:5">
      <c r="A40" s="38"/>
      <c r="B40" s="24" t="s">
        <v>8</v>
      </c>
      <c r="C40" s="2">
        <f>C38+C39</f>
        <v>71166.917507758408</v>
      </c>
      <c r="D40" s="2">
        <f>D38+D39</f>
        <v>1.9663715049667998</v>
      </c>
    </row>
    <row r="41" spans="1:5">
      <c r="A41" s="38"/>
      <c r="B41" s="5" t="s">
        <v>11</v>
      </c>
      <c r="C41" s="2">
        <f>C40*4/100</f>
        <v>2846.6767003103364</v>
      </c>
      <c r="D41" s="2">
        <f>D40*4/100</f>
        <v>7.8654860198671989E-2</v>
      </c>
    </row>
    <row r="42" spans="1:5">
      <c r="A42" s="38"/>
      <c r="B42" s="5" t="s">
        <v>8</v>
      </c>
      <c r="C42" s="2">
        <f>SUM(C40:C41)</f>
        <v>74013.594208068738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39854.42</v>
      </c>
      <c r="D43" s="2">
        <f>D46</f>
        <v>1.1011941865605659</v>
      </c>
    </row>
    <row r="44" spans="1:5">
      <c r="A44" s="38"/>
      <c r="B44" s="5" t="s">
        <v>28</v>
      </c>
      <c r="C44" s="4">
        <v>37619.68</v>
      </c>
      <c r="D44" s="4">
        <f>C44/12/D11</f>
        <v>1.039447391688771</v>
      </c>
    </row>
    <row r="45" spans="1:5" ht="19.5" customHeight="1">
      <c r="A45" s="38"/>
      <c r="B45" s="5" t="s">
        <v>29</v>
      </c>
      <c r="C45" s="4">
        <v>2234.7399999999998</v>
      </c>
      <c r="D45" s="4">
        <f>C45/12/D11</f>
        <v>6.1746794871794866E-2</v>
      </c>
    </row>
    <row r="46" spans="1:5">
      <c r="A46" s="38"/>
      <c r="B46" s="5" t="s">
        <v>8</v>
      </c>
      <c r="C46" s="4">
        <f>C44+C45</f>
        <v>39854.42</v>
      </c>
      <c r="D46" s="4">
        <f>D44+D45</f>
        <v>1.1011941865605659</v>
      </c>
      <c r="E46" s="40"/>
    </row>
    <row r="47" spans="1:5">
      <c r="A47" s="42" t="s">
        <v>54</v>
      </c>
      <c r="B47" s="5" t="s">
        <v>55</v>
      </c>
      <c r="C47" s="2">
        <f>C48+C59+C104</f>
        <v>400124.21453030512</v>
      </c>
      <c r="D47" s="2">
        <f>D48+D59+D104</f>
        <v>11.05559832367112</v>
      </c>
    </row>
    <row r="48" spans="1:5" ht="47.25" customHeight="1">
      <c r="A48" s="38" t="s">
        <v>35</v>
      </c>
      <c r="B48" s="28" t="s">
        <v>46</v>
      </c>
      <c r="C48" s="4">
        <f>C58</f>
        <v>33400.428669673478</v>
      </c>
      <c r="D48" s="4">
        <f>D58</f>
        <v>0.92286772407364825</v>
      </c>
    </row>
    <row r="49" spans="1:7">
      <c r="A49" s="38"/>
      <c r="B49" s="24" t="s">
        <v>13</v>
      </c>
      <c r="C49" s="2">
        <f>(214308.36+159867.48)/56146.82*D11</f>
        <v>20099.34549169481</v>
      </c>
      <c r="D49" s="2">
        <f>C49/D11/12</f>
        <v>0.55535326844868504</v>
      </c>
    </row>
    <row r="50" spans="1:7">
      <c r="A50" s="38"/>
      <c r="B50" s="24" t="s">
        <v>14</v>
      </c>
      <c r="C50" s="2">
        <f>C49*0.302</f>
        <v>6070.0023384918322</v>
      </c>
      <c r="D50" s="2">
        <f>C50/D11/12</f>
        <v>0.16771668707150289</v>
      </c>
    </row>
    <row r="51" spans="1:7">
      <c r="A51" s="38"/>
      <c r="B51" s="24" t="s">
        <v>6</v>
      </c>
      <c r="C51" s="13">
        <f>50000/56146.82*D11</f>
        <v>2685.8155101214993</v>
      </c>
      <c r="D51" s="2">
        <f>C51/D11/12</f>
        <v>7.421019866604496E-2</v>
      </c>
    </row>
    <row r="52" spans="1:7">
      <c r="A52" s="38"/>
      <c r="B52" s="24" t="s">
        <v>8</v>
      </c>
      <c r="C52" s="2">
        <f>C49+C50+C51</f>
        <v>28855.16334030814</v>
      </c>
      <c r="D52" s="2">
        <f>D49+D50+D51</f>
        <v>0.79728015418623288</v>
      </c>
    </row>
    <row r="53" spans="1:7">
      <c r="A53" s="38"/>
      <c r="B53" s="3" t="s">
        <v>9</v>
      </c>
      <c r="C53" s="2">
        <f>C52*5/100</f>
        <v>1442.758167015407</v>
      </c>
      <c r="D53" s="2">
        <f>D52*5/100</f>
        <v>3.9864007709311644E-2</v>
      </c>
    </row>
    <row r="54" spans="1:7">
      <c r="A54" s="38"/>
      <c r="B54" s="24" t="s">
        <v>8</v>
      </c>
      <c r="C54" s="2">
        <f>C52+C53</f>
        <v>30297.921507323546</v>
      </c>
      <c r="D54" s="2">
        <f>D52+D53</f>
        <v>0.83714416189554453</v>
      </c>
    </row>
    <row r="55" spans="1:7">
      <c r="A55" s="38"/>
      <c r="B55" s="24" t="s">
        <v>10</v>
      </c>
      <c r="C55" s="2">
        <f>C54*6/100</f>
        <v>1817.875290439413</v>
      </c>
      <c r="D55" s="2">
        <f>D54*6/100</f>
        <v>5.022864971373267E-2</v>
      </c>
    </row>
    <row r="56" spans="1:7">
      <c r="A56" s="38"/>
      <c r="B56" s="24" t="s">
        <v>8</v>
      </c>
      <c r="C56" s="2">
        <f>C54+C55</f>
        <v>32115.79679776296</v>
      </c>
      <c r="D56" s="2">
        <f>D54+D55</f>
        <v>0.88737281160927717</v>
      </c>
    </row>
    <row r="57" spans="1:7">
      <c r="A57" s="38"/>
      <c r="B57" s="5" t="s">
        <v>11</v>
      </c>
      <c r="C57" s="2">
        <f>C56*4/100</f>
        <v>1284.6318719105184</v>
      </c>
      <c r="D57" s="2">
        <f>D56*4/100</f>
        <v>3.5494912464371087E-2</v>
      </c>
    </row>
    <row r="58" spans="1:7">
      <c r="A58" s="38"/>
      <c r="B58" s="5" t="s">
        <v>8</v>
      </c>
      <c r="C58" s="2">
        <f>C56+C57</f>
        <v>33400.428669673478</v>
      </c>
      <c r="D58" s="2">
        <f>D56+D57</f>
        <v>0.92286772407364825</v>
      </c>
    </row>
    <row r="59" spans="1:7" ht="63">
      <c r="A59" s="38" t="s">
        <v>36</v>
      </c>
      <c r="B59" s="28" t="s">
        <v>37</v>
      </c>
      <c r="C59" s="23">
        <f>C60+C72+C83+C94+C102</f>
        <v>193750.03350868923</v>
      </c>
      <c r="D59" s="23">
        <f>D60+D72+D83+D94+D102</f>
        <v>5.3533939408899549</v>
      </c>
      <c r="G59" s="17"/>
    </row>
    <row r="60" spans="1:7">
      <c r="A60" s="38" t="s">
        <v>38</v>
      </c>
      <c r="B60" s="24" t="s">
        <v>40</v>
      </c>
      <c r="C60" s="2">
        <f>C71</f>
        <v>52984.182800007045</v>
      </c>
      <c r="D60" s="2">
        <f>D71</f>
        <v>1.4639749889480285</v>
      </c>
    </row>
    <row r="61" spans="1:7">
      <c r="A61" s="38"/>
      <c r="B61" s="24" t="s">
        <v>13</v>
      </c>
      <c r="C61" s="2">
        <f>(402940.32+0.5*298665.6)/56146.82*D11</f>
        <v>29666.074230383838</v>
      </c>
      <c r="D61" s="2">
        <f>C61/D11/12</f>
        <v>0.81968595906232977</v>
      </c>
    </row>
    <row r="62" spans="1:7">
      <c r="A62" s="38"/>
      <c r="B62" s="24" t="s">
        <v>14</v>
      </c>
      <c r="C62" s="2">
        <f>C61*0.302</f>
        <v>8959.1544175759191</v>
      </c>
      <c r="D62" s="2">
        <f>C62/D11/12</f>
        <v>0.24754515963682358</v>
      </c>
    </row>
    <row r="63" spans="1:7">
      <c r="A63" s="38"/>
      <c r="B63" s="24" t="s">
        <v>6</v>
      </c>
      <c r="C63" s="13">
        <f>40000/56146.82*D11</f>
        <v>2148.6524080971994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0.13815207780725022</v>
      </c>
    </row>
    <row r="65" spans="1:4">
      <c r="A65" s="38"/>
      <c r="B65" s="24" t="s">
        <v>8</v>
      </c>
      <c r="C65" s="2">
        <f>C61+C62+C63+C64</f>
        <v>45773.881056056955</v>
      </c>
      <c r="D65" s="2">
        <f>D61+D62+D63+D64</f>
        <v>1.2647513554392396</v>
      </c>
    </row>
    <row r="66" spans="1:4">
      <c r="A66" s="38"/>
      <c r="B66" s="3" t="s">
        <v>9</v>
      </c>
      <c r="C66" s="2">
        <f>C65*5/100</f>
        <v>2288.6940528028476</v>
      </c>
      <c r="D66" s="2">
        <f>D65*5/100</f>
        <v>6.3237567771961975E-2</v>
      </c>
    </row>
    <row r="67" spans="1:4">
      <c r="A67" s="38"/>
      <c r="B67" s="24" t="s">
        <v>8</v>
      </c>
      <c r="C67" s="2">
        <f>C65+C66</f>
        <v>48062.575108859804</v>
      </c>
      <c r="D67" s="2">
        <f>D65+D66</f>
        <v>1.3279889232112014</v>
      </c>
    </row>
    <row r="68" spans="1:4">
      <c r="A68" s="38"/>
      <c r="B68" s="24" t="s">
        <v>10</v>
      </c>
      <c r="C68" s="2">
        <f>C67*6/100</f>
        <v>2883.754506531588</v>
      </c>
      <c r="D68" s="2">
        <f>D67*6/100</f>
        <v>7.9679335392672093E-2</v>
      </c>
    </row>
    <row r="69" spans="1:4">
      <c r="A69" s="38"/>
      <c r="B69" s="24" t="s">
        <v>8</v>
      </c>
      <c r="C69" s="2">
        <f>C67+C68</f>
        <v>50946.329615391391</v>
      </c>
      <c r="D69" s="2">
        <f>D67+D68</f>
        <v>1.4076682586038736</v>
      </c>
    </row>
    <row r="70" spans="1:4">
      <c r="A70" s="38"/>
      <c r="B70" s="5" t="s">
        <v>11</v>
      </c>
      <c r="C70" s="2">
        <f>C69*4/100</f>
        <v>2037.8531846156557</v>
      </c>
      <c r="D70" s="2">
        <f>D69*4/100</f>
        <v>5.630673034415494E-2</v>
      </c>
    </row>
    <row r="71" spans="1:4">
      <c r="A71" s="38"/>
      <c r="B71" s="5" t="s">
        <v>8</v>
      </c>
      <c r="C71" s="2">
        <f>C69+C70</f>
        <v>52984.182800007045</v>
      </c>
      <c r="D71" s="2">
        <f>D69+D70</f>
        <v>1.4639749889480285</v>
      </c>
    </row>
    <row r="72" spans="1:4">
      <c r="A72" s="38" t="s">
        <v>39</v>
      </c>
      <c r="B72" s="24" t="s">
        <v>41</v>
      </c>
      <c r="C72" s="2">
        <f>C82</f>
        <v>19931.489165278184</v>
      </c>
      <c r="D72" s="2">
        <f>D82</f>
        <v>0.55071532839517534</v>
      </c>
    </row>
    <row r="73" spans="1:4">
      <c r="A73" s="38"/>
      <c r="B73" s="24" t="s">
        <v>13</v>
      </c>
      <c r="C73" s="2">
        <f>(171109.32+0.2*298665.6)/56146.82*D11</f>
        <v>12400.004114925832</v>
      </c>
      <c r="D73" s="2">
        <f>C73/D11/12</f>
        <v>0.34261726665909126</v>
      </c>
    </row>
    <row r="74" spans="1:4" ht="28.5">
      <c r="A74" s="38"/>
      <c r="B74" s="27" t="s">
        <v>5</v>
      </c>
      <c r="C74" s="2">
        <f>C73*0.302</f>
        <v>3744.8012427076014</v>
      </c>
      <c r="D74" s="2">
        <f>C74/D11/12</f>
        <v>0.10347041453104557</v>
      </c>
    </row>
    <row r="75" spans="1:4">
      <c r="A75" s="38"/>
      <c r="B75" s="24" t="s">
        <v>6</v>
      </c>
      <c r="C75" s="13">
        <f>20000/56146.82*D11</f>
        <v>1074.3262040485997</v>
      </c>
      <c r="D75" s="2">
        <f>C75/D11/12</f>
        <v>2.9684079466417986E-2</v>
      </c>
    </row>
    <row r="76" spans="1:4">
      <c r="A76" s="38"/>
      <c r="B76" s="24" t="s">
        <v>8</v>
      </c>
      <c r="C76" s="2">
        <f>C73+C74+C75</f>
        <v>17219.131561682032</v>
      </c>
      <c r="D76" s="2">
        <f>D73+D74+D75</f>
        <v>0.4757717606565548</v>
      </c>
    </row>
    <row r="77" spans="1:4">
      <c r="A77" s="38"/>
      <c r="B77" s="3" t="s">
        <v>9</v>
      </c>
      <c r="C77" s="2">
        <f>C76*5/100</f>
        <v>860.95657808410169</v>
      </c>
      <c r="D77" s="2">
        <f>D76*5/100</f>
        <v>2.3788588032827736E-2</v>
      </c>
    </row>
    <row r="78" spans="1:4">
      <c r="A78" s="38"/>
      <c r="B78" s="24" t="s">
        <v>8</v>
      </c>
      <c r="C78" s="2">
        <f>C76+C77</f>
        <v>18080.088139766132</v>
      </c>
      <c r="D78" s="2">
        <f>D76+D77</f>
        <v>0.49956034868938254</v>
      </c>
    </row>
    <row r="79" spans="1:4">
      <c r="A79" s="38"/>
      <c r="B79" s="24" t="s">
        <v>10</v>
      </c>
      <c r="C79" s="2">
        <f>C78*6/100</f>
        <v>1084.805288385968</v>
      </c>
      <c r="D79" s="2">
        <f>D78*6/100</f>
        <v>2.9973620921362954E-2</v>
      </c>
    </row>
    <row r="80" spans="1:4">
      <c r="A80" s="38"/>
      <c r="B80" s="24" t="s">
        <v>8</v>
      </c>
      <c r="C80" s="2">
        <f>C78+C79</f>
        <v>19164.8934281521</v>
      </c>
      <c r="D80" s="2">
        <f>D78+D79</f>
        <v>0.5295339696107455</v>
      </c>
    </row>
    <row r="81" spans="1:4">
      <c r="A81" s="38"/>
      <c r="B81" s="5" t="s">
        <v>11</v>
      </c>
      <c r="C81" s="2">
        <f>C80*4/100</f>
        <v>766.59573712608403</v>
      </c>
      <c r="D81" s="2">
        <f>D80*4/100</f>
        <v>2.1181358784429821E-2</v>
      </c>
    </row>
    <row r="82" spans="1:4">
      <c r="A82" s="38"/>
      <c r="B82" s="5" t="s">
        <v>8</v>
      </c>
      <c r="C82" s="2">
        <f>C80+C81</f>
        <v>19931.489165278184</v>
      </c>
      <c r="D82" s="2">
        <f>D80+D81</f>
        <v>0.55071532839517534</v>
      </c>
    </row>
    <row r="83" spans="1:4" ht="30.75" customHeight="1">
      <c r="A83" s="38" t="s">
        <v>56</v>
      </c>
      <c r="B83" s="28" t="s">
        <v>43</v>
      </c>
      <c r="C83" s="2">
        <f>C93</f>
        <v>120834.361543404</v>
      </c>
      <c r="D83" s="2">
        <f>D93</f>
        <v>3.3387036235467504</v>
      </c>
    </row>
    <row r="84" spans="1:4">
      <c r="A84" s="38"/>
      <c r="B84" s="24" t="s">
        <v>13</v>
      </c>
      <c r="C84" s="2">
        <f>(1395324.48+0.3*298665.6)/56146.82*D11</f>
        <v>79764.646805642769</v>
      </c>
      <c r="D84" s="2">
        <f>C84/D11/12</f>
        <v>2.2039303383521984</v>
      </c>
    </row>
    <row r="85" spans="1:4" ht="28.5">
      <c r="A85" s="38"/>
      <c r="B85" s="27" t="s">
        <v>5</v>
      </c>
      <c r="C85" s="2">
        <f>C84*0.302</f>
        <v>24088.923335304116</v>
      </c>
      <c r="D85" s="2">
        <f>D84*0.302</f>
        <v>0.66558696218236391</v>
      </c>
    </row>
    <row r="86" spans="1:4">
      <c r="A86" s="38"/>
      <c r="B86" s="24" t="s">
        <v>6</v>
      </c>
      <c r="C86" s="13">
        <f>10000/56146.82*D11</f>
        <v>537.16310202429986</v>
      </c>
      <c r="D86" s="2">
        <f>C86/D11/12</f>
        <v>1.4842039733208993E-2</v>
      </c>
    </row>
    <row r="87" spans="1:4">
      <c r="A87" s="38"/>
      <c r="B87" s="24" t="s">
        <v>15</v>
      </c>
      <c r="C87" s="2">
        <f>C84+C85+C86</f>
        <v>104390.73324297118</v>
      </c>
      <c r="D87" s="2">
        <f>D84+D85+D86</f>
        <v>2.8843593402677712</v>
      </c>
    </row>
    <row r="88" spans="1:4">
      <c r="A88" s="38"/>
      <c r="B88" s="3" t="s">
        <v>9</v>
      </c>
      <c r="C88" s="2">
        <f>C87*5/100</f>
        <v>5219.5366621485591</v>
      </c>
      <c r="D88" s="2">
        <f>D87*5/100</f>
        <v>0.14421796701338857</v>
      </c>
    </row>
    <row r="89" spans="1:4">
      <c r="A89" s="38"/>
      <c r="B89" s="24" t="s">
        <v>8</v>
      </c>
      <c r="C89" s="2">
        <f>C87+C88</f>
        <v>109610.26990511974</v>
      </c>
      <c r="D89" s="2">
        <f>D87+D88</f>
        <v>3.0285773072811599</v>
      </c>
    </row>
    <row r="90" spans="1:4">
      <c r="A90" s="38"/>
      <c r="B90" s="24" t="s">
        <v>10</v>
      </c>
      <c r="C90" s="2">
        <f>C89*6/100</f>
        <v>6576.6161943071847</v>
      </c>
      <c r="D90" s="2">
        <f>D89*6/100</f>
        <v>0.18171463843686958</v>
      </c>
    </row>
    <row r="91" spans="1:4">
      <c r="A91" s="38"/>
      <c r="B91" s="24" t="s">
        <v>8</v>
      </c>
      <c r="C91" s="2">
        <f>C89+C90</f>
        <v>116186.88609942692</v>
      </c>
      <c r="D91" s="2">
        <f>D89+D90</f>
        <v>3.2102919457180294</v>
      </c>
    </row>
    <row r="92" spans="1:4">
      <c r="A92" s="38"/>
      <c r="B92" s="5" t="s">
        <v>11</v>
      </c>
      <c r="C92" s="2">
        <f>C91*4/100</f>
        <v>4647.4754439770768</v>
      </c>
      <c r="D92" s="2">
        <f>D91*4/100</f>
        <v>0.12841167782872118</v>
      </c>
    </row>
    <row r="93" spans="1:4">
      <c r="A93" s="38"/>
      <c r="B93" s="5" t="s">
        <v>8</v>
      </c>
      <c r="C93" s="2">
        <f>C91+C92</f>
        <v>120834.361543404</v>
      </c>
      <c r="D93" s="2">
        <f>D91+D92</f>
        <v>3.3387036235467504</v>
      </c>
    </row>
    <row r="94" spans="1:4" ht="31.5">
      <c r="A94" s="38" t="s">
        <v>57</v>
      </c>
      <c r="B94" s="28" t="s">
        <v>44</v>
      </c>
      <c r="C94" s="23">
        <v>0</v>
      </c>
      <c r="D94" s="23">
        <v>0</v>
      </c>
    </row>
    <row r="95" spans="1:4" hidden="1">
      <c r="A95" s="38"/>
      <c r="B95" s="3" t="s">
        <v>16</v>
      </c>
      <c r="C95" s="2">
        <f>40*180*3</f>
        <v>21600</v>
      </c>
      <c r="D95" s="2">
        <f>C95/D11/12</f>
        <v>0.59681697612732099</v>
      </c>
    </row>
    <row r="96" spans="1:4" hidden="1">
      <c r="A96" s="38"/>
      <c r="B96" s="3" t="s">
        <v>9</v>
      </c>
      <c r="C96" s="2">
        <f>C95*5/100</f>
        <v>1080</v>
      </c>
      <c r="D96" s="2">
        <f>D95*5/100</f>
        <v>2.9840848806366047E-2</v>
      </c>
    </row>
    <row r="97" spans="1:4" hidden="1">
      <c r="A97" s="38"/>
      <c r="B97" s="24" t="s">
        <v>8</v>
      </c>
      <c r="C97" s="2">
        <f>C95+C96</f>
        <v>22680</v>
      </c>
      <c r="D97" s="2">
        <f>D95+D96</f>
        <v>0.62665782493368705</v>
      </c>
    </row>
    <row r="98" spans="1:4" hidden="1">
      <c r="A98" s="38"/>
      <c r="B98" s="24" t="s">
        <v>10</v>
      </c>
      <c r="C98" s="2">
        <f>C97*6/100</f>
        <v>1360.8</v>
      </c>
      <c r="D98" s="2">
        <f>D97*6/100</f>
        <v>3.7599469496021228E-2</v>
      </c>
    </row>
    <row r="99" spans="1:4" hidden="1">
      <c r="A99" s="38"/>
      <c r="B99" s="24" t="s">
        <v>8</v>
      </c>
      <c r="C99" s="2">
        <f>C97+C98</f>
        <v>24040.799999999999</v>
      </c>
      <c r="D99" s="2">
        <f>D97+D98</f>
        <v>0.66425729442970827</v>
      </c>
    </row>
    <row r="100" spans="1:4" hidden="1">
      <c r="A100" s="38"/>
      <c r="B100" s="5" t="s">
        <v>11</v>
      </c>
      <c r="C100" s="2">
        <f>C99*4/100</f>
        <v>961.63199999999995</v>
      </c>
      <c r="D100" s="2">
        <f>D99*4/100</f>
        <v>2.657029177718833E-2</v>
      </c>
    </row>
    <row r="101" spans="1:4" hidden="1">
      <c r="A101" s="38"/>
      <c r="B101" s="5" t="s">
        <v>8</v>
      </c>
      <c r="C101" s="2">
        <f>C99+C100</f>
        <v>25002.432000000001</v>
      </c>
      <c r="D101" s="2">
        <f>D99+D100</f>
        <v>0.69082758620689655</v>
      </c>
    </row>
    <row r="102" spans="1:4" ht="31.5">
      <c r="A102" s="38" t="s">
        <v>58</v>
      </c>
      <c r="B102" s="28" t="s">
        <v>45</v>
      </c>
      <c r="C102" s="13">
        <v>0</v>
      </c>
      <c r="D102" s="13">
        <v>0</v>
      </c>
    </row>
    <row r="103" spans="1:4">
      <c r="A103" s="38"/>
      <c r="B103" s="5" t="s">
        <v>8</v>
      </c>
      <c r="C103" s="2">
        <v>0</v>
      </c>
      <c r="D103" s="2">
        <v>0</v>
      </c>
    </row>
    <row r="104" spans="1:4" ht="29.25">
      <c r="A104" s="37" t="s">
        <v>42</v>
      </c>
      <c r="B104" s="22" t="s">
        <v>59</v>
      </c>
      <c r="C104" s="23">
        <f>C116+C128</f>
        <v>172973.75235194244</v>
      </c>
      <c r="D104" s="23">
        <f>D116+D128</f>
        <v>4.7793366587075159</v>
      </c>
    </row>
    <row r="105" spans="1:4" ht="28.5">
      <c r="A105" s="56" t="s">
        <v>93</v>
      </c>
      <c r="B105" s="24" t="s">
        <v>60</v>
      </c>
      <c r="C105" s="25">
        <f>C116</f>
        <v>17403.983959689602</v>
      </c>
      <c r="D105" s="2">
        <f>D116</f>
        <v>0.48087930923103445</v>
      </c>
    </row>
    <row r="106" spans="1:4">
      <c r="A106" s="38"/>
      <c r="B106" s="26" t="s">
        <v>4</v>
      </c>
      <c r="C106" s="25">
        <f>76.5*91.16</f>
        <v>6973.74</v>
      </c>
      <c r="D106" s="2">
        <f>C106/D11/12</f>
        <v>0.19268733421750661</v>
      </c>
    </row>
    <row r="107" spans="1:4" ht="28.5">
      <c r="A107" s="38"/>
      <c r="B107" s="27" t="s">
        <v>5</v>
      </c>
      <c r="C107" s="2">
        <f>C106*0.302</f>
        <v>2106.0694799999997</v>
      </c>
      <c r="D107" s="2">
        <f>C107/D11/12</f>
        <v>5.8191574933686992E-2</v>
      </c>
    </row>
    <row r="108" spans="1:4">
      <c r="A108" s="38"/>
      <c r="B108" s="24" t="s">
        <v>6</v>
      </c>
      <c r="C108" s="25">
        <f>483*8.19</f>
        <v>3955.77</v>
      </c>
      <c r="D108" s="2">
        <f>C108/D11/12</f>
        <v>0.10929956896551724</v>
      </c>
    </row>
    <row r="109" spans="1:4">
      <c r="A109" s="38"/>
      <c r="B109" s="3" t="s">
        <v>7</v>
      </c>
      <c r="C109" s="2">
        <f>400*5</f>
        <v>2000</v>
      </c>
      <c r="D109" s="2">
        <f>C109/D11/12</f>
        <v>5.5260831122900089E-2</v>
      </c>
    </row>
    <row r="110" spans="1:4">
      <c r="A110" s="38"/>
      <c r="B110" s="24" t="s">
        <v>8</v>
      </c>
      <c r="C110" s="2">
        <f>C106+C107+C108+C109</f>
        <v>15035.57948</v>
      </c>
      <c r="D110" s="2">
        <f>D106+D107+D108+D109</f>
        <v>0.41543930923961092</v>
      </c>
    </row>
    <row r="111" spans="1:4">
      <c r="A111" s="38"/>
      <c r="B111" s="3" t="s">
        <v>9</v>
      </c>
      <c r="C111" s="2">
        <f>C110*5/100</f>
        <v>751.77897400000006</v>
      </c>
      <c r="D111" s="2">
        <f>C111/D11/12</f>
        <v>2.0771965461980551E-2</v>
      </c>
    </row>
    <row r="112" spans="1:4">
      <c r="A112" s="38"/>
      <c r="B112" s="24" t="s">
        <v>8</v>
      </c>
      <c r="C112" s="2">
        <f>C110+C111</f>
        <v>15787.358454000001</v>
      </c>
      <c r="D112" s="2">
        <f>D110+D111</f>
        <v>0.43621127470159149</v>
      </c>
    </row>
    <row r="113" spans="1:4">
      <c r="A113" s="38"/>
      <c r="B113" s="24" t="s">
        <v>10</v>
      </c>
      <c r="C113" s="2">
        <f>C112*6/100</f>
        <v>947.24150724000003</v>
      </c>
      <c r="D113" s="2">
        <f>C113/D11/12</f>
        <v>2.6172676482095491E-2</v>
      </c>
    </row>
    <row r="114" spans="1:4">
      <c r="A114" s="38"/>
      <c r="B114" s="24" t="s">
        <v>8</v>
      </c>
      <c r="C114" s="2">
        <f>C112+C113</f>
        <v>16734.599961240001</v>
      </c>
      <c r="D114" s="2">
        <f>D112+D113</f>
        <v>0.46238395118368697</v>
      </c>
    </row>
    <row r="115" spans="1:4">
      <c r="A115" s="38"/>
      <c r="B115" s="5" t="s">
        <v>11</v>
      </c>
      <c r="C115" s="2">
        <f>C114*4/100</f>
        <v>669.38399844960009</v>
      </c>
      <c r="D115" s="2">
        <f>C115/D11/12</f>
        <v>1.8495358047347484E-2</v>
      </c>
    </row>
    <row r="116" spans="1:4">
      <c r="A116" s="38"/>
      <c r="B116" s="5" t="s">
        <v>8</v>
      </c>
      <c r="C116" s="2">
        <f>C114+C115</f>
        <v>17403.983959689602</v>
      </c>
      <c r="D116" s="2">
        <f>D114+D115</f>
        <v>0.48087930923103445</v>
      </c>
    </row>
    <row r="117" spans="1:4" ht="30.75" customHeight="1">
      <c r="A117" s="56" t="s">
        <v>94</v>
      </c>
      <c r="B117" s="24" t="s">
        <v>63</v>
      </c>
      <c r="C117" s="2">
        <f>C128</f>
        <v>155569.76839225285</v>
      </c>
      <c r="D117" s="2">
        <f>D128</f>
        <v>4.2984573494764815</v>
      </c>
    </row>
    <row r="118" spans="1:4">
      <c r="A118" s="38"/>
      <c r="B118" s="26" t="s">
        <v>4</v>
      </c>
      <c r="C118" s="2">
        <f>3213*29.52</f>
        <v>94847.76</v>
      </c>
      <c r="D118" s="2">
        <f>C118/D11/12</f>
        <v>2.620683023872679</v>
      </c>
    </row>
    <row r="119" spans="1:4" ht="28.5">
      <c r="A119" s="38"/>
      <c r="B119" s="27" t="s">
        <v>5</v>
      </c>
      <c r="C119" s="2">
        <f>C118*0.302</f>
        <v>28644.023519999999</v>
      </c>
      <c r="D119" s="2">
        <f>C119/D11/12</f>
        <v>0.79144627320954897</v>
      </c>
    </row>
    <row r="120" spans="1:4">
      <c r="A120" s="38"/>
      <c r="B120" s="24" t="s">
        <v>6</v>
      </c>
      <c r="C120" s="2">
        <f>3213*1.91</f>
        <v>6136.83</v>
      </c>
      <c r="D120" s="2">
        <f>C120/D11/12</f>
        <v>0.16956316312997347</v>
      </c>
    </row>
    <row r="121" spans="1:4">
      <c r="A121" s="38"/>
      <c r="B121" s="3" t="s">
        <v>12</v>
      </c>
      <c r="C121" s="2">
        <f>(64000+12000)/51186.1*3213</f>
        <v>4770.5920161918957</v>
      </c>
      <c r="D121" s="2">
        <f>C121/D11/12</f>
        <v>0.13181343988151789</v>
      </c>
    </row>
    <row r="122" spans="1:4">
      <c r="A122" s="38"/>
      <c r="B122" s="24" t="s">
        <v>8</v>
      </c>
      <c r="C122" s="2">
        <f>C118+C119+C120+C121</f>
        <v>134399.2055361919</v>
      </c>
      <c r="D122" s="2">
        <f>D118+D119+D120+D121</f>
        <v>3.7135059000937196</v>
      </c>
    </row>
    <row r="123" spans="1:4">
      <c r="A123" s="38"/>
      <c r="B123" s="3" t="s">
        <v>9</v>
      </c>
      <c r="C123" s="2">
        <f>C122*5/100</f>
        <v>6719.9602768095956</v>
      </c>
      <c r="D123" s="2">
        <f>C123/D11/12</f>
        <v>0.18567529500468602</v>
      </c>
    </row>
    <row r="124" spans="1:4">
      <c r="A124" s="38"/>
      <c r="B124" s="24" t="s">
        <v>8</v>
      </c>
      <c r="C124" s="2">
        <f>C122+C123</f>
        <v>141119.16581300151</v>
      </c>
      <c r="D124" s="2">
        <f>D122+D123</f>
        <v>3.8991811950984054</v>
      </c>
    </row>
    <row r="125" spans="1:4">
      <c r="A125" s="38"/>
      <c r="B125" s="24" t="s">
        <v>10</v>
      </c>
      <c r="C125" s="2">
        <f>C124*6/100</f>
        <v>8467.1499487800902</v>
      </c>
      <c r="D125" s="2">
        <f>C125/D11/12</f>
        <v>0.23395087170590434</v>
      </c>
    </row>
    <row r="126" spans="1:4">
      <c r="A126" s="38"/>
      <c r="B126" s="24" t="s">
        <v>8</v>
      </c>
      <c r="C126" s="2">
        <f>C124+C125</f>
        <v>149586.31576178159</v>
      </c>
      <c r="D126" s="2">
        <f>D124+D125</f>
        <v>4.1331320668043094</v>
      </c>
    </row>
    <row r="127" spans="1:4">
      <c r="A127" s="38"/>
      <c r="B127" s="5" t="s">
        <v>11</v>
      </c>
      <c r="C127" s="2">
        <f>C126*4/100</f>
        <v>5983.4526304712635</v>
      </c>
      <c r="D127" s="2">
        <f>C127/D11/12</f>
        <v>0.16532528267217242</v>
      </c>
    </row>
    <row r="128" spans="1:4">
      <c r="A128" s="38"/>
      <c r="B128" s="5" t="s">
        <v>8</v>
      </c>
      <c r="C128" s="2">
        <f>C126+C127</f>
        <v>155569.76839225285</v>
      </c>
      <c r="D128" s="2">
        <f>D126+D127</f>
        <v>4.2984573494764815</v>
      </c>
    </row>
    <row r="129" spans="1:6" ht="44.25" customHeight="1">
      <c r="A129" s="42" t="s">
        <v>64</v>
      </c>
      <c r="B129" s="5" t="s">
        <v>65</v>
      </c>
      <c r="C129" s="4">
        <f>C133+C141+C137</f>
        <v>1865.2252159999998</v>
      </c>
      <c r="D129" s="4">
        <f>D133+D141+D137</f>
        <v>5.1536947833775416E-2</v>
      </c>
      <c r="F129" s="17"/>
    </row>
    <row r="130" spans="1:6">
      <c r="A130" s="38" t="s">
        <v>35</v>
      </c>
      <c r="B130" s="5" t="s">
        <v>103</v>
      </c>
      <c r="C130" s="46"/>
      <c r="D130" s="4"/>
    </row>
    <row r="131" spans="1:6">
      <c r="A131" s="38"/>
      <c r="B131" s="24" t="s">
        <v>10</v>
      </c>
      <c r="C131" s="2">
        <f>4233.4*6/100</f>
        <v>254.00399999999999</v>
      </c>
      <c r="D131" s="2">
        <f>C131/12/D11</f>
        <v>7.0182360742705565E-3</v>
      </c>
    </row>
    <row r="132" spans="1:6">
      <c r="A132" s="38"/>
      <c r="B132" s="5" t="s">
        <v>11</v>
      </c>
      <c r="C132" s="2">
        <f>(4233.4+C131)*4/100</f>
        <v>179.49615999999997</v>
      </c>
      <c r="D132" s="2">
        <f>C132/12/D11</f>
        <v>4.9595534924845265E-3</v>
      </c>
    </row>
    <row r="133" spans="1:6">
      <c r="A133" s="38"/>
      <c r="B133" s="5" t="s">
        <v>8</v>
      </c>
      <c r="C133" s="2">
        <f>C131+C132</f>
        <v>433.50015999999994</v>
      </c>
      <c r="D133" s="2">
        <f>D131+D132</f>
        <v>1.1977789566755083E-2</v>
      </c>
    </row>
    <row r="134" spans="1:6">
      <c r="A134" s="55" t="s">
        <v>36</v>
      </c>
      <c r="B134" s="5" t="s">
        <v>104</v>
      </c>
      <c r="C134" s="46"/>
      <c r="D134" s="4"/>
    </row>
    <row r="135" spans="1:6">
      <c r="A135" s="55"/>
      <c r="B135" s="24" t="s">
        <v>10</v>
      </c>
      <c r="C135" s="2">
        <f>3748.85*6/100</f>
        <v>224.93099999999998</v>
      </c>
      <c r="D135" s="2">
        <f>C135/12/D11</f>
        <v>6.2149370026525191E-3</v>
      </c>
    </row>
    <row r="136" spans="1:6">
      <c r="A136" s="55"/>
      <c r="B136" s="5" t="s">
        <v>11</v>
      </c>
      <c r="C136" s="2">
        <f>(3748.85+C135)*4/100</f>
        <v>158.95123999999998</v>
      </c>
      <c r="D136" s="2">
        <f>C136/12/D11</f>
        <v>4.3918888152077807E-3</v>
      </c>
    </row>
    <row r="137" spans="1:6">
      <c r="A137" s="55"/>
      <c r="B137" s="5" t="s">
        <v>8</v>
      </c>
      <c r="C137" s="2">
        <f>C135+C136</f>
        <v>383.88223999999997</v>
      </c>
      <c r="D137" s="2">
        <f>D135+D136</f>
        <v>1.0606825817860301E-2</v>
      </c>
    </row>
    <row r="138" spans="1:6">
      <c r="A138" s="38" t="s">
        <v>42</v>
      </c>
      <c r="B138" s="5" t="s">
        <v>105</v>
      </c>
      <c r="C138" s="46"/>
      <c r="D138" s="4"/>
    </row>
    <row r="139" spans="1:6">
      <c r="A139" s="38"/>
      <c r="B139" s="24" t="s">
        <v>10</v>
      </c>
      <c r="C139" s="2">
        <f>10232.84*6/100</f>
        <v>613.97040000000004</v>
      </c>
      <c r="D139" s="2">
        <f>C139/12/D11</f>
        <v>1.696425729442971E-2</v>
      </c>
    </row>
    <row r="140" spans="1:6">
      <c r="A140" s="38"/>
      <c r="B140" s="5" t="s">
        <v>11</v>
      </c>
      <c r="C140" s="2">
        <f>(10232.84+C139)*4/100</f>
        <v>433.87241599999999</v>
      </c>
      <c r="D140" s="2">
        <f>C140/12/D11</f>
        <v>1.1988075154730327E-2</v>
      </c>
    </row>
    <row r="141" spans="1:6">
      <c r="A141" s="38"/>
      <c r="B141" s="5" t="s">
        <v>8</v>
      </c>
      <c r="C141" s="2">
        <f>C139+C140</f>
        <v>1047.8428160000001</v>
      </c>
      <c r="D141" s="2">
        <f>D139+D140</f>
        <v>2.8952332449160036E-2</v>
      </c>
    </row>
    <row r="142" spans="1:6">
      <c r="A142" s="38"/>
      <c r="B142" s="6" t="s">
        <v>30</v>
      </c>
      <c r="C142" s="2">
        <f>C12+C47+C129</f>
        <v>713577.73099325516</v>
      </c>
      <c r="D142" s="2">
        <f>D12+D47+D129-0.003</f>
        <v>19.713449242740253</v>
      </c>
      <c r="E142" s="17"/>
    </row>
    <row r="143" spans="1:6" ht="28.5">
      <c r="A143" s="42" t="s">
        <v>66</v>
      </c>
      <c r="B143" s="24" t="s">
        <v>67</v>
      </c>
      <c r="C143" s="23">
        <v>132012.4</v>
      </c>
      <c r="D143" s="57">
        <v>3.6475574712643675</v>
      </c>
    </row>
    <row r="144" spans="1:6">
      <c r="A144" s="38"/>
      <c r="B144" s="41" t="s">
        <v>71</v>
      </c>
      <c r="C144" s="2">
        <f>C142+C143</f>
        <v>845590.13099325518</v>
      </c>
      <c r="D144" s="2">
        <f>D142+D143</f>
        <v>23.36100671400462</v>
      </c>
    </row>
    <row r="145" spans="1:4" ht="28.5">
      <c r="A145" s="42" t="s">
        <v>72</v>
      </c>
      <c r="B145" s="24" t="s">
        <v>97</v>
      </c>
      <c r="C145" s="23">
        <f>D145*12*D11</f>
        <v>108576</v>
      </c>
      <c r="D145" s="57">
        <v>3</v>
      </c>
    </row>
    <row r="146" spans="1:4">
      <c r="A146" s="42" t="s">
        <v>95</v>
      </c>
      <c r="B146" s="3" t="s">
        <v>73</v>
      </c>
      <c r="C146" s="2">
        <f>D146*12*D11</f>
        <v>108576</v>
      </c>
      <c r="D146" s="2">
        <v>3</v>
      </c>
    </row>
    <row r="147" spans="1:4">
      <c r="B147" s="8"/>
      <c r="C147" s="15"/>
      <c r="D147" s="8"/>
    </row>
    <row r="148" spans="1:4">
      <c r="B148" s="9" t="s">
        <v>75</v>
      </c>
      <c r="C148" s="16"/>
      <c r="D148" s="10"/>
    </row>
    <row r="149" spans="1:4" ht="15.75">
      <c r="B149" s="30" t="s">
        <v>47</v>
      </c>
      <c r="C149" s="31"/>
      <c r="D149" s="30"/>
    </row>
    <row r="150" spans="1:4" ht="15.75">
      <c r="B150" s="30"/>
      <c r="C150" s="31"/>
      <c r="D150" s="30"/>
    </row>
    <row r="151" spans="1:4">
      <c r="B151" s="72" t="s">
        <v>31</v>
      </c>
      <c r="C151" s="72"/>
      <c r="D151" s="72"/>
    </row>
    <row r="152" spans="1:4" ht="15.75">
      <c r="B152" s="30"/>
      <c r="C152" s="31"/>
      <c r="D152" s="30"/>
    </row>
  </sheetData>
  <mergeCells count="11">
    <mergeCell ref="B7:D7"/>
    <mergeCell ref="C1:D1"/>
    <mergeCell ref="C2:D2"/>
    <mergeCell ref="C3:D3"/>
    <mergeCell ref="C4:D4"/>
    <mergeCell ref="B6:D6"/>
    <mergeCell ref="A9:A10"/>
    <mergeCell ref="B9:B10"/>
    <mergeCell ref="C9:C10"/>
    <mergeCell ref="D9:D10"/>
    <mergeCell ref="B151:D15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rowBreaks count="1" manualBreakCount="1">
    <brk id="1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topLeftCell="A22" workbookViewId="0">
      <selection activeCell="D141" sqref="D141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92</v>
      </c>
      <c r="C7" s="66"/>
      <c r="D7" s="66"/>
    </row>
    <row r="8" spans="1:6" ht="8.25" customHeight="1">
      <c r="B8" s="39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38"/>
      <c r="B11" s="22" t="s">
        <v>53</v>
      </c>
      <c r="C11" s="2"/>
      <c r="D11" s="2">
        <v>3451.11</v>
      </c>
    </row>
    <row r="12" spans="1:6">
      <c r="A12" s="42" t="s">
        <v>51</v>
      </c>
      <c r="B12" s="24" t="s">
        <v>52</v>
      </c>
      <c r="C12" s="2">
        <f>C13+C24+C43</f>
        <v>338480.7672410683</v>
      </c>
      <c r="D12" s="2">
        <f>D13+D24+D43</f>
        <v>8.1732342937264697</v>
      </c>
    </row>
    <row r="13" spans="1:6">
      <c r="A13" s="38" t="s">
        <v>35</v>
      </c>
      <c r="B13" s="24" t="s">
        <v>70</v>
      </c>
      <c r="C13" s="2">
        <f>C23</f>
        <v>226244.83597203382</v>
      </c>
      <c r="D13" s="2">
        <f>D23</f>
        <v>5.4630934195093221</v>
      </c>
      <c r="F13" s="17"/>
    </row>
    <row r="14" spans="1:6">
      <c r="A14" s="38"/>
      <c r="B14" s="24" t="s">
        <v>13</v>
      </c>
      <c r="C14" s="2">
        <f>(2363756.52+40177.8)/56146.82*D11</f>
        <v>147759.78000348373</v>
      </c>
      <c r="D14" s="2">
        <f>C14/D11/12</f>
        <v>3.5679288693464741</v>
      </c>
    </row>
    <row r="15" spans="1:6" ht="28.5">
      <c r="A15" s="38"/>
      <c r="B15" s="27" t="s">
        <v>5</v>
      </c>
      <c r="C15" s="2">
        <f>C14*0.302</f>
        <v>44623.453561052083</v>
      </c>
      <c r="D15" s="2">
        <f>D14*0.302</f>
        <v>1.0775145185426351</v>
      </c>
    </row>
    <row r="16" spans="1:6">
      <c r="A16" s="38"/>
      <c r="B16" s="24" t="s">
        <v>6</v>
      </c>
      <c r="C16" s="14">
        <f>50000/56146.82*D11</f>
        <v>3073.2907046204932</v>
      </c>
      <c r="D16" s="2">
        <f>C16/D11/12</f>
        <v>7.421019866604496E-2</v>
      </c>
    </row>
    <row r="17" spans="1:4">
      <c r="A17" s="38"/>
      <c r="B17" s="24" t="s">
        <v>8</v>
      </c>
      <c r="C17" s="2">
        <f>C14+C15+C16</f>
        <v>195456.5242691563</v>
      </c>
      <c r="D17" s="2">
        <f>D14+D15+D16</f>
        <v>4.7196535865551548</v>
      </c>
    </row>
    <row r="18" spans="1:4">
      <c r="A18" s="38"/>
      <c r="B18" s="3" t="s">
        <v>9</v>
      </c>
      <c r="C18" s="2">
        <f>C17*5/100</f>
        <v>9772.8262134578144</v>
      </c>
      <c r="D18" s="2">
        <f>D17*5/100</f>
        <v>0.23598267932775774</v>
      </c>
    </row>
    <row r="19" spans="1:4">
      <c r="A19" s="38"/>
      <c r="B19" s="24" t="s">
        <v>8</v>
      </c>
      <c r="C19" s="2">
        <f>C17+C18</f>
        <v>205229.35048261413</v>
      </c>
      <c r="D19" s="2">
        <f>D17+D18</f>
        <v>4.9556362658829123</v>
      </c>
    </row>
    <row r="20" spans="1:4">
      <c r="A20" s="38"/>
      <c r="B20" s="24" t="s">
        <v>10</v>
      </c>
      <c r="C20" s="2">
        <f>C19*6/100</f>
        <v>12313.761028956847</v>
      </c>
      <c r="D20" s="2">
        <f>D19*6/100</f>
        <v>0.29733817595297474</v>
      </c>
    </row>
    <row r="21" spans="1:4">
      <c r="A21" s="38"/>
      <c r="B21" s="24" t="s">
        <v>8</v>
      </c>
      <c r="C21" s="2">
        <f>C19+C20</f>
        <v>217543.11151157098</v>
      </c>
      <c r="D21" s="2">
        <f>D19+D20</f>
        <v>5.252974441835887</v>
      </c>
    </row>
    <row r="22" spans="1:4">
      <c r="A22" s="38"/>
      <c r="B22" s="5" t="s">
        <v>11</v>
      </c>
      <c r="C22" s="2">
        <f>C21*4/100</f>
        <v>8701.7244604628395</v>
      </c>
      <c r="D22" s="2">
        <f>D21*4/100</f>
        <v>0.21011897767343549</v>
      </c>
    </row>
    <row r="23" spans="1:4">
      <c r="A23" s="38"/>
      <c r="B23" s="5" t="s">
        <v>8</v>
      </c>
      <c r="C23" s="2">
        <f>C21+C22</f>
        <v>226244.83597203382</v>
      </c>
      <c r="D23" s="2">
        <f>D21+D22</f>
        <v>5.4630934195093221</v>
      </c>
    </row>
    <row r="24" spans="1:4">
      <c r="A24" s="38" t="s">
        <v>36</v>
      </c>
      <c r="B24" s="24" t="s">
        <v>69</v>
      </c>
      <c r="C24" s="2">
        <f>C42</f>
        <v>84691.331269034505</v>
      </c>
      <c r="D24" s="2">
        <f>D42</f>
        <v>2.0450263651654716</v>
      </c>
    </row>
    <row r="25" spans="1:4">
      <c r="A25" s="38"/>
      <c r="B25" s="3" t="s">
        <v>17</v>
      </c>
      <c r="C25" s="2">
        <f>16000/56146.82*D11</f>
        <v>983.45302547855783</v>
      </c>
      <c r="D25" s="2">
        <f>C25/D11/12</f>
        <v>2.3747263573134388E-2</v>
      </c>
    </row>
    <row r="26" spans="1:4">
      <c r="A26" s="38"/>
      <c r="B26" s="3" t="s">
        <v>18</v>
      </c>
      <c r="C26" s="2">
        <f>((23200+5300)*12)/56146.82*D11</f>
        <v>21021.308419604175</v>
      </c>
      <c r="D26" s="2">
        <f>C26/D11/12</f>
        <v>0.50759775887574754</v>
      </c>
    </row>
    <row r="27" spans="1:4">
      <c r="A27" s="38"/>
      <c r="B27" s="3" t="s">
        <v>19</v>
      </c>
      <c r="C27" s="2">
        <f>26500*12/56146.82*D11</f>
        <v>19546.128881386336</v>
      </c>
      <c r="D27" s="2">
        <f>C27/D11/12</f>
        <v>0.47197686351604595</v>
      </c>
    </row>
    <row r="28" spans="1:4">
      <c r="A28" s="38"/>
      <c r="B28" s="3" t="s">
        <v>20</v>
      </c>
      <c r="C28" s="2">
        <f>45000/56146.82*D11</f>
        <v>2765.9616341584438</v>
      </c>
      <c r="D28" s="2">
        <f>C28/D11/12</f>
        <v>6.6789178799440463E-2</v>
      </c>
    </row>
    <row r="29" spans="1:4">
      <c r="A29" s="38"/>
      <c r="B29" s="3" t="s">
        <v>21</v>
      </c>
      <c r="C29" s="2">
        <f>56221.5/56146.82*D11</f>
        <v>3455.7002669964213</v>
      </c>
      <c r="D29" s="2">
        <f>C29/D11/12</f>
        <v>8.3444173686060941E-2</v>
      </c>
    </row>
    <row r="30" spans="1:4">
      <c r="A30" s="38"/>
      <c r="B30" s="3" t="s">
        <v>22</v>
      </c>
      <c r="C30" s="2">
        <f>80170.37/56146.82*D11</f>
        <v>4927.7370581397136</v>
      </c>
      <c r="D30" s="2">
        <f>C30/D11/12</f>
        <v>0.11898918169660662</v>
      </c>
    </row>
    <row r="31" spans="1:4">
      <c r="A31" s="38"/>
      <c r="B31" s="3" t="s">
        <v>23</v>
      </c>
      <c r="C31" s="2">
        <f>93800/56146.82*D11</f>
        <v>5765.4933618680452</v>
      </c>
      <c r="D31" s="2">
        <f>C31/D11/12</f>
        <v>0.13921833269750036</v>
      </c>
    </row>
    <row r="32" spans="1:4">
      <c r="A32" s="38"/>
      <c r="B32" s="3" t="s">
        <v>24</v>
      </c>
      <c r="C32" s="2">
        <f>7000/56146.82*D11</f>
        <v>430.26069864686906</v>
      </c>
      <c r="D32" s="2">
        <f>C32/D11/12</f>
        <v>1.0389427813246295E-2</v>
      </c>
    </row>
    <row r="33" spans="1:5">
      <c r="A33" s="38"/>
      <c r="B33" s="3" t="s">
        <v>25</v>
      </c>
      <c r="C33" s="2">
        <f>113064/56146.82*D11</f>
        <v>6949.5708045442288</v>
      </c>
      <c r="D33" s="2">
        <f>C33/D11/12</f>
        <v>0.16781003803955416</v>
      </c>
    </row>
    <row r="34" spans="1:5">
      <c r="A34" s="38"/>
      <c r="B34" s="3" t="s">
        <v>26</v>
      </c>
      <c r="C34" s="2">
        <f>84600/56146.82*D11</f>
        <v>5200.007872217875</v>
      </c>
      <c r="D34" s="2">
        <f>C34/D11/12</f>
        <v>0.12556365614294809</v>
      </c>
    </row>
    <row r="35" spans="1:5">
      <c r="A35" s="38"/>
      <c r="B35" s="3" t="s">
        <v>27</v>
      </c>
      <c r="C35" s="2">
        <f>34500/56146.82*D11</f>
        <v>2120.5705861881406</v>
      </c>
      <c r="D35" s="2">
        <f>C35/D11/12</f>
        <v>5.1205037079571032E-2</v>
      </c>
    </row>
    <row r="36" spans="1:5">
      <c r="A36" s="38"/>
      <c r="B36" s="24" t="s">
        <v>8</v>
      </c>
      <c r="C36" s="2">
        <f>SUM(C25:C35)</f>
        <v>73166.19260922879</v>
      </c>
      <c r="D36" s="2">
        <f>SUM(D25:D35)</f>
        <v>1.766730911919856</v>
      </c>
    </row>
    <row r="37" spans="1:5">
      <c r="A37" s="38"/>
      <c r="B37" s="3" t="s">
        <v>9</v>
      </c>
      <c r="C37" s="2">
        <f>C36*5/100</f>
        <v>3658.3096304614392</v>
      </c>
      <c r="D37" s="2">
        <f>D36*5/100</f>
        <v>8.8336545595992799E-2</v>
      </c>
    </row>
    <row r="38" spans="1:5">
      <c r="A38" s="38"/>
      <c r="B38" s="24" t="s">
        <v>8</v>
      </c>
      <c r="C38" s="2">
        <f>C36+C37</f>
        <v>76824.502239690235</v>
      </c>
      <c r="D38" s="2">
        <f>D36+D37</f>
        <v>1.8550674575158488</v>
      </c>
    </row>
    <row r="39" spans="1:5">
      <c r="A39" s="38"/>
      <c r="B39" s="24" t="s">
        <v>10</v>
      </c>
      <c r="C39" s="2">
        <f>C38*6/100</f>
        <v>4609.470134381414</v>
      </c>
      <c r="D39" s="2">
        <f>D38*6/100</f>
        <v>0.11130404745095092</v>
      </c>
    </row>
    <row r="40" spans="1:5">
      <c r="A40" s="38"/>
      <c r="B40" s="24" t="s">
        <v>8</v>
      </c>
      <c r="C40" s="2">
        <f>C38+C39</f>
        <v>81433.972374071644</v>
      </c>
      <c r="D40" s="2">
        <f>D38+D39</f>
        <v>1.9663715049667998</v>
      </c>
    </row>
    <row r="41" spans="1:5">
      <c r="A41" s="38"/>
      <c r="B41" s="5" t="s">
        <v>11</v>
      </c>
      <c r="C41" s="2">
        <f>C40*4/100</f>
        <v>3257.3588949628656</v>
      </c>
      <c r="D41" s="2">
        <f>D40*4/100</f>
        <v>7.8654860198671989E-2</v>
      </c>
    </row>
    <row r="42" spans="1:5">
      <c r="A42" s="38"/>
      <c r="B42" s="5" t="s">
        <v>8</v>
      </c>
      <c r="C42" s="2">
        <f>SUM(C40:C41)</f>
        <v>84691.331269034505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27544.600000000002</v>
      </c>
      <c r="D43" s="2">
        <f>D46</f>
        <v>0.66511450905167713</v>
      </c>
    </row>
    <row r="44" spans="1:5">
      <c r="A44" s="38"/>
      <c r="B44" s="5" t="s">
        <v>28</v>
      </c>
      <c r="C44" s="46">
        <v>24930.2</v>
      </c>
      <c r="D44" s="4">
        <f>C44/12/D11</f>
        <v>0.60198506181103084</v>
      </c>
    </row>
    <row r="45" spans="1:5" ht="19.5" customHeight="1">
      <c r="A45" s="38"/>
      <c r="B45" s="5" t="s">
        <v>29</v>
      </c>
      <c r="C45" s="46">
        <v>2614.4</v>
      </c>
      <c r="D45" s="4">
        <f>C45/12/D11</f>
        <v>6.3129447240646244E-2</v>
      </c>
    </row>
    <row r="46" spans="1:5">
      <c r="A46" s="38"/>
      <c r="B46" s="5" t="s">
        <v>8</v>
      </c>
      <c r="C46" s="4">
        <f>C44+C45</f>
        <v>27544.600000000002</v>
      </c>
      <c r="D46" s="4">
        <f>D44+D45</f>
        <v>0.66511450905167713</v>
      </c>
      <c r="E46" s="40"/>
    </row>
    <row r="47" spans="1:5">
      <c r="A47" s="42" t="s">
        <v>54</v>
      </c>
      <c r="B47" s="5" t="s">
        <v>55</v>
      </c>
      <c r="C47" s="2">
        <f>C48+C59+C103</f>
        <v>453508.89317334781</v>
      </c>
      <c r="D47" s="2">
        <f>D48+D59+D103</f>
        <v>10.950797790984826</v>
      </c>
    </row>
    <row r="48" spans="1:5" ht="47.25" customHeight="1">
      <c r="A48" s="38" t="s">
        <v>35</v>
      </c>
      <c r="B48" s="28" t="s">
        <v>46</v>
      </c>
      <c r="C48" s="4">
        <f>C58</f>
        <v>38219.016374733692</v>
      </c>
      <c r="D48" s="4">
        <f>D58</f>
        <v>0.92286772407364825</v>
      </c>
    </row>
    <row r="49" spans="1:7">
      <c r="A49" s="38"/>
      <c r="B49" s="24" t="s">
        <v>13</v>
      </c>
      <c r="C49" s="2">
        <f>(214308.36+159867.48)/56146.82*D11</f>
        <v>22999.022619311298</v>
      </c>
      <c r="D49" s="2">
        <f>C49/D11/12</f>
        <v>0.55535326844868504</v>
      </c>
    </row>
    <row r="50" spans="1:7">
      <c r="A50" s="38"/>
      <c r="B50" s="24" t="s">
        <v>14</v>
      </c>
      <c r="C50" s="2">
        <f>C49*0.302</f>
        <v>6945.7048310320115</v>
      </c>
      <c r="D50" s="2">
        <f>C50/D11/12</f>
        <v>0.16771668707150286</v>
      </c>
    </row>
    <row r="51" spans="1:7">
      <c r="A51" s="38"/>
      <c r="B51" s="24" t="s">
        <v>6</v>
      </c>
      <c r="C51" s="13">
        <f>50000/56146.82*D11</f>
        <v>3073.2907046204932</v>
      </c>
      <c r="D51" s="2">
        <f>C51/D11/12</f>
        <v>7.421019866604496E-2</v>
      </c>
    </row>
    <row r="52" spans="1:7">
      <c r="A52" s="38"/>
      <c r="B52" s="24" t="s">
        <v>8</v>
      </c>
      <c r="C52" s="2">
        <f>C49+C50+C51</f>
        <v>33018.0181549638</v>
      </c>
      <c r="D52" s="2">
        <f>D49+D50+D51</f>
        <v>0.79728015418623288</v>
      </c>
    </row>
    <row r="53" spans="1:7">
      <c r="A53" s="38"/>
      <c r="B53" s="3" t="s">
        <v>9</v>
      </c>
      <c r="C53" s="2">
        <f>C52*5/100</f>
        <v>1650.9009077481899</v>
      </c>
      <c r="D53" s="2">
        <f>D52*5/100</f>
        <v>3.9864007709311644E-2</v>
      </c>
    </row>
    <row r="54" spans="1:7">
      <c r="A54" s="38"/>
      <c r="B54" s="24" t="s">
        <v>8</v>
      </c>
      <c r="C54" s="2">
        <f>C52+C53</f>
        <v>34668.91906271199</v>
      </c>
      <c r="D54" s="2">
        <f>D52+D53</f>
        <v>0.83714416189554453</v>
      </c>
    </row>
    <row r="55" spans="1:7">
      <c r="A55" s="38"/>
      <c r="B55" s="24" t="s">
        <v>10</v>
      </c>
      <c r="C55" s="2">
        <f>C54*6/100</f>
        <v>2080.1351437627191</v>
      </c>
      <c r="D55" s="2">
        <f>D54*6/100</f>
        <v>5.022864971373267E-2</v>
      </c>
    </row>
    <row r="56" spans="1:7">
      <c r="A56" s="38"/>
      <c r="B56" s="24" t="s">
        <v>8</v>
      </c>
      <c r="C56" s="2">
        <f>C54+C55</f>
        <v>36749.054206474706</v>
      </c>
      <c r="D56" s="2">
        <f>D54+D55</f>
        <v>0.88737281160927717</v>
      </c>
    </row>
    <row r="57" spans="1:7">
      <c r="A57" s="38"/>
      <c r="B57" s="5" t="s">
        <v>11</v>
      </c>
      <c r="C57" s="2">
        <f>C56*4/100</f>
        <v>1469.9621682589882</v>
      </c>
      <c r="D57" s="2">
        <f>D56*4/100</f>
        <v>3.5494912464371087E-2</v>
      </c>
    </row>
    <row r="58" spans="1:7">
      <c r="A58" s="38"/>
      <c r="B58" s="5" t="s">
        <v>8</v>
      </c>
      <c r="C58" s="2">
        <f>C56+C57</f>
        <v>38219.016374733692</v>
      </c>
      <c r="D58" s="2">
        <f>D56+D57</f>
        <v>0.92286772407364825</v>
      </c>
    </row>
    <row r="59" spans="1:7" ht="63">
      <c r="A59" s="38" t="s">
        <v>36</v>
      </c>
      <c r="B59" s="28" t="s">
        <v>37</v>
      </c>
      <c r="C59" s="23">
        <f>C60+C72+C83+C94+C102</f>
        <v>264621.11127392994</v>
      </c>
      <c r="D59" s="23">
        <f>D60+D72+D83+D94+D102</f>
        <v>6.3897584466526691</v>
      </c>
      <c r="G59" s="17"/>
    </row>
    <row r="60" spans="1:7">
      <c r="A60" s="38" t="s">
        <v>38</v>
      </c>
      <c r="B60" s="24" t="s">
        <v>40</v>
      </c>
      <c r="C60" s="2">
        <f>C71</f>
        <v>59793.103603094278</v>
      </c>
      <c r="D60" s="2">
        <f>D71</f>
        <v>1.44381333356259</v>
      </c>
    </row>
    <row r="61" spans="1:7">
      <c r="A61" s="38"/>
      <c r="B61" s="24" t="s">
        <v>13</v>
      </c>
      <c r="C61" s="2">
        <f>(402940.32+0.5*298665.6)/56146.82*D11</f>
        <v>33945.916922155164</v>
      </c>
      <c r="D61" s="2">
        <f>C61/D11/12</f>
        <v>0.81968595906232977</v>
      </c>
    </row>
    <row r="62" spans="1:7">
      <c r="A62" s="38"/>
      <c r="B62" s="24" t="s">
        <v>14</v>
      </c>
      <c r="C62" s="2">
        <f>C61*0.302</f>
        <v>10251.66691049086</v>
      </c>
      <c r="D62" s="2">
        <f>C62/D11/12</f>
        <v>0.24754515963682358</v>
      </c>
    </row>
    <row r="63" spans="1:7">
      <c r="A63" s="38"/>
      <c r="B63" s="24" t="s">
        <v>6</v>
      </c>
      <c r="C63" s="13">
        <f>40000/56146.82*D11</f>
        <v>2458.6325636963948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0.12073410197492014</v>
      </c>
    </row>
    <row r="65" spans="1:4">
      <c r="A65" s="38"/>
      <c r="B65" s="24" t="s">
        <v>8</v>
      </c>
      <c r="C65" s="2">
        <f>C61+C62+C63+C64</f>
        <v>51656.216396342417</v>
      </c>
      <c r="D65" s="2">
        <f>D61+D62+D63+D64</f>
        <v>1.2473333796069095</v>
      </c>
    </row>
    <row r="66" spans="1:4">
      <c r="A66" s="38"/>
      <c r="B66" s="3" t="s">
        <v>9</v>
      </c>
      <c r="C66" s="2">
        <f>C65*5/100</f>
        <v>2582.8108198171208</v>
      </c>
      <c r="D66" s="2">
        <f>D65*5/100</f>
        <v>6.2366668980345479E-2</v>
      </c>
    </row>
    <row r="67" spans="1:4">
      <c r="A67" s="38"/>
      <c r="B67" s="24" t="s">
        <v>8</v>
      </c>
      <c r="C67" s="2">
        <f>C65+C66</f>
        <v>54239.027216159535</v>
      </c>
      <c r="D67" s="2">
        <f>D65+D66</f>
        <v>1.309700048587255</v>
      </c>
    </row>
    <row r="68" spans="1:4">
      <c r="A68" s="38"/>
      <c r="B68" s="24" t="s">
        <v>10</v>
      </c>
      <c r="C68" s="2">
        <f>C67*6/100</f>
        <v>3254.3416329695719</v>
      </c>
      <c r="D68" s="2">
        <f>D67*6/100</f>
        <v>7.8582002915235302E-2</v>
      </c>
    </row>
    <row r="69" spans="1:4">
      <c r="A69" s="38"/>
      <c r="B69" s="24" t="s">
        <v>8</v>
      </c>
      <c r="C69" s="2">
        <f>C67+C68</f>
        <v>57493.36884912911</v>
      </c>
      <c r="D69" s="2">
        <f>D67+D68</f>
        <v>1.3882820515024903</v>
      </c>
    </row>
    <row r="70" spans="1:4">
      <c r="A70" s="38"/>
      <c r="B70" s="5" t="s">
        <v>11</v>
      </c>
      <c r="C70" s="2">
        <f>C69*4/100</f>
        <v>2299.7347539651646</v>
      </c>
      <c r="D70" s="2">
        <f>D69*4/100</f>
        <v>5.5531282060099614E-2</v>
      </c>
    </row>
    <row r="71" spans="1:4">
      <c r="A71" s="38"/>
      <c r="B71" s="5" t="s">
        <v>8</v>
      </c>
      <c r="C71" s="2">
        <f>C69+C70</f>
        <v>59793.103603094278</v>
      </c>
      <c r="D71" s="2">
        <f>D69+D70</f>
        <v>1.44381333356259</v>
      </c>
    </row>
    <row r="72" spans="1:4">
      <c r="A72" s="38" t="s">
        <v>39</v>
      </c>
      <c r="B72" s="24" t="s">
        <v>41</v>
      </c>
      <c r="C72" s="2">
        <f>C82</f>
        <v>22806.950123734481</v>
      </c>
      <c r="D72" s="2">
        <f>D82</f>
        <v>0.55071532839517534</v>
      </c>
    </row>
    <row r="73" spans="1:4">
      <c r="A73" s="38"/>
      <c r="B73" s="24" t="s">
        <v>13</v>
      </c>
      <c r="C73" s="2">
        <f>(171109.32+0.2*298665.6)/56146.82*D11</f>
        <v>14188.918501678278</v>
      </c>
      <c r="D73" s="2">
        <f>C73/D11/12</f>
        <v>0.34261726665909126</v>
      </c>
    </row>
    <row r="74" spans="1:4" ht="28.5">
      <c r="A74" s="38"/>
      <c r="B74" s="27" t="s">
        <v>5</v>
      </c>
      <c r="C74" s="2">
        <f>C73*0.302</f>
        <v>4285.0533875068395</v>
      </c>
      <c r="D74" s="2">
        <f>C74/D11/12</f>
        <v>0.10347041453104555</v>
      </c>
    </row>
    <row r="75" spans="1:4">
      <c r="A75" s="38"/>
      <c r="B75" s="24" t="s">
        <v>6</v>
      </c>
      <c r="C75" s="13">
        <f>20000/56146.82*D11</f>
        <v>1229.3162818481974</v>
      </c>
      <c r="D75" s="2">
        <f>C75/D11/12</f>
        <v>2.9684079466417986E-2</v>
      </c>
    </row>
    <row r="76" spans="1:4">
      <c r="A76" s="38"/>
      <c r="B76" s="24" t="s">
        <v>8</v>
      </c>
      <c r="C76" s="2">
        <f>C73+C74+C75</f>
        <v>19703.288171033313</v>
      </c>
      <c r="D76" s="2">
        <f>D73+D74+D75</f>
        <v>0.4757717606565548</v>
      </c>
    </row>
    <row r="77" spans="1:4">
      <c r="A77" s="38"/>
      <c r="B77" s="3" t="s">
        <v>9</v>
      </c>
      <c r="C77" s="2">
        <f>C76*5/100</f>
        <v>985.1644085516657</v>
      </c>
      <c r="D77" s="2">
        <f>D76*5/100</f>
        <v>2.3788588032827736E-2</v>
      </c>
    </row>
    <row r="78" spans="1:4">
      <c r="A78" s="38"/>
      <c r="B78" s="24" t="s">
        <v>8</v>
      </c>
      <c r="C78" s="2">
        <f>C76+C77</f>
        <v>20688.45257958498</v>
      </c>
      <c r="D78" s="2">
        <f>D76+D77</f>
        <v>0.49956034868938254</v>
      </c>
    </row>
    <row r="79" spans="1:4">
      <c r="A79" s="38"/>
      <c r="B79" s="24" t="s">
        <v>10</v>
      </c>
      <c r="C79" s="2">
        <f>C78*6/100</f>
        <v>1241.307154775099</v>
      </c>
      <c r="D79" s="2">
        <f>D78*6/100</f>
        <v>2.9973620921362954E-2</v>
      </c>
    </row>
    <row r="80" spans="1:4">
      <c r="A80" s="38"/>
      <c r="B80" s="24" t="s">
        <v>8</v>
      </c>
      <c r="C80" s="2">
        <f>C78+C79</f>
        <v>21929.759734360079</v>
      </c>
      <c r="D80" s="2">
        <f>D78+D79</f>
        <v>0.5295339696107455</v>
      </c>
    </row>
    <row r="81" spans="1:4">
      <c r="A81" s="38"/>
      <c r="B81" s="5" t="s">
        <v>11</v>
      </c>
      <c r="C81" s="2">
        <f>C80*4/100</f>
        <v>877.19038937440314</v>
      </c>
      <c r="D81" s="2">
        <f>D80*4/100</f>
        <v>2.1181358784429821E-2</v>
      </c>
    </row>
    <row r="82" spans="1:4">
      <c r="A82" s="38"/>
      <c r="B82" s="5" t="s">
        <v>8</v>
      </c>
      <c r="C82" s="2">
        <f>C80+C81</f>
        <v>22806.950123734481</v>
      </c>
      <c r="D82" s="2">
        <f>D80+D81</f>
        <v>0.55071532839517534</v>
      </c>
    </row>
    <row r="83" spans="1:4" ht="30.75" customHeight="1">
      <c r="A83" s="38" t="s">
        <v>56</v>
      </c>
      <c r="B83" s="28" t="s">
        <v>43</v>
      </c>
      <c r="C83" s="2">
        <f>C93</f>
        <v>138266.80154710117</v>
      </c>
      <c r="D83" s="2">
        <f>D93</f>
        <v>3.3387036235467509</v>
      </c>
    </row>
    <row r="84" spans="1:4">
      <c r="A84" s="38"/>
      <c r="B84" s="24" t="s">
        <v>13</v>
      </c>
      <c r="C84" s="2">
        <f>(1395324.48+0.3*298665.6)/56146.82*D11</f>
        <v>91272.072359887883</v>
      </c>
      <c r="D84" s="2">
        <f>C84/D11/12</f>
        <v>2.2039303383521989</v>
      </c>
    </row>
    <row r="85" spans="1:4" ht="28.5">
      <c r="A85" s="38"/>
      <c r="B85" s="27" t="s">
        <v>5</v>
      </c>
      <c r="C85" s="2">
        <f>C84*0.302</f>
        <v>27564.165852686139</v>
      </c>
      <c r="D85" s="2">
        <f>D84*0.302</f>
        <v>0.66558696218236402</v>
      </c>
    </row>
    <row r="86" spans="1:4">
      <c r="A86" s="38"/>
      <c r="B86" s="24" t="s">
        <v>6</v>
      </c>
      <c r="C86" s="13">
        <f>10000/56146.82*D11</f>
        <v>614.65814092409869</v>
      </c>
      <c r="D86" s="2">
        <f>C86/D11/12</f>
        <v>1.4842039733208993E-2</v>
      </c>
    </row>
    <row r="87" spans="1:4">
      <c r="A87" s="38"/>
      <c r="B87" s="24" t="s">
        <v>15</v>
      </c>
      <c r="C87" s="2">
        <f>C84+C85+C86</f>
        <v>119450.89635349813</v>
      </c>
      <c r="D87" s="2">
        <f>D84+D85+D86</f>
        <v>2.8843593402677716</v>
      </c>
    </row>
    <row r="88" spans="1:4">
      <c r="A88" s="38"/>
      <c r="B88" s="3" t="s">
        <v>9</v>
      </c>
      <c r="C88" s="2">
        <f>C87*5/100</f>
        <v>5972.544817674906</v>
      </c>
      <c r="D88" s="2">
        <f>D87*5/100</f>
        <v>0.14421796701338857</v>
      </c>
    </row>
    <row r="89" spans="1:4">
      <c r="A89" s="38"/>
      <c r="B89" s="24" t="s">
        <v>8</v>
      </c>
      <c r="C89" s="2">
        <f>C87+C88</f>
        <v>125423.44117117304</v>
      </c>
      <c r="D89" s="2">
        <f>D87+D88</f>
        <v>3.0285773072811604</v>
      </c>
    </row>
    <row r="90" spans="1:4">
      <c r="A90" s="38"/>
      <c r="B90" s="24" t="s">
        <v>10</v>
      </c>
      <c r="C90" s="2">
        <f>C89*6/100</f>
        <v>7525.4064702703827</v>
      </c>
      <c r="D90" s="2">
        <f>D89*6/100</f>
        <v>0.18171463843686961</v>
      </c>
    </row>
    <row r="91" spans="1:4">
      <c r="A91" s="38"/>
      <c r="B91" s="24" t="s">
        <v>8</v>
      </c>
      <c r="C91" s="2">
        <f>C89+C90</f>
        <v>132948.84764144343</v>
      </c>
      <c r="D91" s="2">
        <f>D89+D90</f>
        <v>3.2102919457180299</v>
      </c>
    </row>
    <row r="92" spans="1:4">
      <c r="A92" s="38"/>
      <c r="B92" s="5" t="s">
        <v>11</v>
      </c>
      <c r="C92" s="2">
        <f>C91*4/100</f>
        <v>5317.9539056577369</v>
      </c>
      <c r="D92" s="2">
        <f>D91*4/100</f>
        <v>0.1284116778287212</v>
      </c>
    </row>
    <row r="93" spans="1:4">
      <c r="A93" s="38"/>
      <c r="B93" s="5" t="s">
        <v>8</v>
      </c>
      <c r="C93" s="2">
        <f>C91+C92</f>
        <v>138266.80154710117</v>
      </c>
      <c r="D93" s="2">
        <f>D91+D92</f>
        <v>3.3387036235467509</v>
      </c>
    </row>
    <row r="94" spans="1:4" ht="31.5">
      <c r="A94" s="38" t="s">
        <v>57</v>
      </c>
      <c r="B94" s="28" t="s">
        <v>44</v>
      </c>
      <c r="C94" s="23">
        <f>C101</f>
        <v>43754.256000000001</v>
      </c>
      <c r="D94" s="23">
        <f>D101</f>
        <v>1.0565261611481525</v>
      </c>
    </row>
    <row r="95" spans="1:4">
      <c r="A95" s="38"/>
      <c r="B95" s="3" t="s">
        <v>16</v>
      </c>
      <c r="C95" s="13">
        <f>70*180*3</f>
        <v>37800</v>
      </c>
      <c r="D95" s="2">
        <f>C95/D11/12</f>
        <v>0.91274981093039631</v>
      </c>
    </row>
    <row r="96" spans="1:4">
      <c r="A96" s="38"/>
      <c r="B96" s="3" t="s">
        <v>9</v>
      </c>
      <c r="C96" s="2">
        <f>C95*5/100</f>
        <v>1890</v>
      </c>
      <c r="D96" s="2">
        <f>D95*5/100</f>
        <v>4.5637490546519811E-2</v>
      </c>
    </row>
    <row r="97" spans="1:4">
      <c r="A97" s="38"/>
      <c r="B97" s="24" t="s">
        <v>8</v>
      </c>
      <c r="C97" s="2">
        <f>C95+C96</f>
        <v>39690</v>
      </c>
      <c r="D97" s="2">
        <f>D95+D96</f>
        <v>0.95838730147691609</v>
      </c>
    </row>
    <row r="98" spans="1:4">
      <c r="A98" s="38"/>
      <c r="B98" s="24" t="s">
        <v>10</v>
      </c>
      <c r="C98" s="2">
        <f>C97*6/100</f>
        <v>2381.4</v>
      </c>
      <c r="D98" s="2">
        <f>D97*6/100</f>
        <v>5.7503238088614968E-2</v>
      </c>
    </row>
    <row r="99" spans="1:4">
      <c r="A99" s="38"/>
      <c r="B99" s="24" t="s">
        <v>8</v>
      </c>
      <c r="C99" s="2">
        <f>C97+C98</f>
        <v>42071.4</v>
      </c>
      <c r="D99" s="2">
        <f>D97+D98</f>
        <v>1.0158905395655311</v>
      </c>
    </row>
    <row r="100" spans="1:4">
      <c r="A100" s="38"/>
      <c r="B100" s="5" t="s">
        <v>11</v>
      </c>
      <c r="C100" s="2">
        <f>C99*4/100</f>
        <v>1682.856</v>
      </c>
      <c r="D100" s="2">
        <f>D99*4/100</f>
        <v>4.0635621582621247E-2</v>
      </c>
    </row>
    <row r="101" spans="1:4">
      <c r="A101" s="38"/>
      <c r="B101" s="5" t="s">
        <v>8</v>
      </c>
      <c r="C101" s="2">
        <f>C99+C100</f>
        <v>43754.256000000001</v>
      </c>
      <c r="D101" s="2">
        <f>D99+D100</f>
        <v>1.0565261611481525</v>
      </c>
    </row>
    <row r="102" spans="1:4" ht="31.5">
      <c r="A102" s="38" t="s">
        <v>58</v>
      </c>
      <c r="B102" s="28" t="s">
        <v>88</v>
      </c>
      <c r="C102" s="13">
        <v>0</v>
      </c>
      <c r="D102" s="13">
        <v>0</v>
      </c>
    </row>
    <row r="103" spans="1:4" ht="29.25">
      <c r="A103" s="37" t="s">
        <v>42</v>
      </c>
      <c r="B103" s="22" t="s">
        <v>59</v>
      </c>
      <c r="C103" s="23">
        <f>C115+C127</f>
        <v>150668.76552468416</v>
      </c>
      <c r="D103" s="23">
        <f>D115+D127</f>
        <v>3.6381716202585093</v>
      </c>
    </row>
    <row r="104" spans="1:4" ht="28.5">
      <c r="A104" s="38" t="s">
        <v>61</v>
      </c>
      <c r="B104" s="24" t="s">
        <v>60</v>
      </c>
      <c r="C104" s="25">
        <f>C115</f>
        <v>57878.879391191047</v>
      </c>
      <c r="D104" s="2">
        <f>D115</f>
        <v>1.3975909053220326</v>
      </c>
    </row>
    <row r="105" spans="1:4">
      <c r="A105" s="38"/>
      <c r="B105" s="26" t="s">
        <v>4</v>
      </c>
      <c r="C105" s="33">
        <f>373.6*91.16</f>
        <v>34057.376000000004</v>
      </c>
      <c r="D105" s="2">
        <f>C105/D11/12</f>
        <v>0.82237734139643959</v>
      </c>
    </row>
    <row r="106" spans="1:4" ht="28.5">
      <c r="A106" s="38"/>
      <c r="B106" s="27" t="s">
        <v>5</v>
      </c>
      <c r="C106" s="2">
        <f>C105*0.302</f>
        <v>10285.327552000001</v>
      </c>
      <c r="D106" s="2">
        <f>C106/D11/12</f>
        <v>0.24835795710172479</v>
      </c>
    </row>
    <row r="107" spans="1:4">
      <c r="A107" s="38"/>
      <c r="B107" s="24" t="s">
        <v>6</v>
      </c>
      <c r="C107" s="33">
        <f>373.6*8.19</f>
        <v>3059.7840000000001</v>
      </c>
      <c r="D107" s="2">
        <f>C107/D11/12</f>
        <v>7.3884054695445817E-2</v>
      </c>
    </row>
    <row r="108" spans="1:4">
      <c r="A108" s="38"/>
      <c r="B108" s="3" t="s">
        <v>7</v>
      </c>
      <c r="C108" s="13">
        <f>520*5</f>
        <v>2600</v>
      </c>
      <c r="D108" s="2">
        <f>C108/D11/12</f>
        <v>6.2781733026958469E-2</v>
      </c>
    </row>
    <row r="109" spans="1:4">
      <c r="A109" s="38"/>
      <c r="B109" s="24" t="s">
        <v>8</v>
      </c>
      <c r="C109" s="2">
        <f>C105+C106+C107+C108</f>
        <v>50002.487552000006</v>
      </c>
      <c r="D109" s="2">
        <f>D105+D106+D107+D108</f>
        <v>1.2074010862205686</v>
      </c>
    </row>
    <row r="110" spans="1:4">
      <c r="A110" s="38"/>
      <c r="B110" s="3" t="s">
        <v>9</v>
      </c>
      <c r="C110" s="2">
        <f>C109*5/100</f>
        <v>2500.1243776000001</v>
      </c>
      <c r="D110" s="2">
        <f>C110/D11/12</f>
        <v>6.0370054311028432E-2</v>
      </c>
    </row>
    <row r="111" spans="1:4">
      <c r="A111" s="38"/>
      <c r="B111" s="24" t="s">
        <v>8</v>
      </c>
      <c r="C111" s="2">
        <f>C109+C110</f>
        <v>52502.611929600003</v>
      </c>
      <c r="D111" s="2">
        <f>D109+D110</f>
        <v>1.267771140531597</v>
      </c>
    </row>
    <row r="112" spans="1:4">
      <c r="A112" s="38"/>
      <c r="B112" s="24" t="s">
        <v>10</v>
      </c>
      <c r="C112" s="2">
        <f>C111*6/100</f>
        <v>3150.1567157760001</v>
      </c>
      <c r="D112" s="2">
        <f>C112/D11/12</f>
        <v>7.6066268431895831E-2</v>
      </c>
    </row>
    <row r="113" spans="1:6">
      <c r="A113" s="38"/>
      <c r="B113" s="24" t="s">
        <v>8</v>
      </c>
      <c r="C113" s="2">
        <f>C111+C112</f>
        <v>55652.768645376003</v>
      </c>
      <c r="D113" s="2">
        <f>D111+D112</f>
        <v>1.3438374089634928</v>
      </c>
    </row>
    <row r="114" spans="1:6">
      <c r="A114" s="38"/>
      <c r="B114" s="5" t="s">
        <v>11</v>
      </c>
      <c r="C114" s="2">
        <f>C113*4/100</f>
        <v>2226.11074581504</v>
      </c>
      <c r="D114" s="2">
        <f>C114/D11/12</f>
        <v>5.375349635853971E-2</v>
      </c>
    </row>
    <row r="115" spans="1:6">
      <c r="A115" s="38"/>
      <c r="B115" s="5" t="s">
        <v>8</v>
      </c>
      <c r="C115" s="2">
        <f>C113+C114</f>
        <v>57878.879391191047</v>
      </c>
      <c r="D115" s="2">
        <f>D113+D114</f>
        <v>1.3975909053220326</v>
      </c>
    </row>
    <row r="116" spans="1:6" ht="30.75" customHeight="1">
      <c r="A116" s="38" t="s">
        <v>62</v>
      </c>
      <c r="B116" s="24" t="s">
        <v>63</v>
      </c>
      <c r="C116" s="2">
        <f>C127</f>
        <v>92789.886133493113</v>
      </c>
      <c r="D116" s="2">
        <f>D127</f>
        <v>2.2405807149364767</v>
      </c>
    </row>
    <row r="117" spans="1:6">
      <c r="A117" s="38"/>
      <c r="B117" s="26" t="s">
        <v>4</v>
      </c>
      <c r="C117" s="13">
        <f>1916.4*29.52</f>
        <v>56572.128000000004</v>
      </c>
      <c r="D117" s="2">
        <f>C117/D11/12</f>
        <v>1.3660370141780469</v>
      </c>
    </row>
    <row r="118" spans="1:6" ht="28.5">
      <c r="A118" s="38"/>
      <c r="B118" s="27" t="s">
        <v>5</v>
      </c>
      <c r="C118" s="2">
        <f>C117*0.302</f>
        <v>17084.782655999999</v>
      </c>
      <c r="D118" s="2">
        <f>C118/D11/12</f>
        <v>0.41254317828177017</v>
      </c>
    </row>
    <row r="119" spans="1:6">
      <c r="A119" s="38"/>
      <c r="B119" s="24" t="s">
        <v>6</v>
      </c>
      <c r="C119" s="13">
        <f>1916.4*1.91</f>
        <v>3660.3240000000001</v>
      </c>
      <c r="D119" s="2">
        <f>C119/D11/12</f>
        <v>8.838518621544951E-2</v>
      </c>
    </row>
    <row r="120" spans="1:6">
      <c r="A120" s="38"/>
      <c r="B120" s="3" t="s">
        <v>12</v>
      </c>
      <c r="C120" s="13">
        <f>(64000+12000)/51186.1*1916.4</f>
        <v>2845.4287394429348</v>
      </c>
      <c r="D120" s="2">
        <f>C120/D11/12</f>
        <v>6.8708056718054356E-2</v>
      </c>
    </row>
    <row r="121" spans="1:6">
      <c r="A121" s="38"/>
      <c r="B121" s="24" t="s">
        <v>8</v>
      </c>
      <c r="C121" s="2">
        <f>C117+C118+C119+C120</f>
        <v>80162.663395442942</v>
      </c>
      <c r="D121" s="2">
        <f>D117+D118+D119+D120</f>
        <v>1.9356734353933209</v>
      </c>
    </row>
    <row r="122" spans="1:6">
      <c r="A122" s="38"/>
      <c r="B122" s="3" t="s">
        <v>9</v>
      </c>
      <c r="C122" s="2">
        <f>C121*5/100</f>
        <v>4008.1331697721471</v>
      </c>
      <c r="D122" s="2">
        <f>C122/D11/12</f>
        <v>9.6783671769666069E-2</v>
      </c>
    </row>
    <row r="123" spans="1:6">
      <c r="A123" s="38"/>
      <c r="B123" s="24" t="s">
        <v>8</v>
      </c>
      <c r="C123" s="2">
        <f>C121+C122</f>
        <v>84170.796565215089</v>
      </c>
      <c r="D123" s="2">
        <f>D121+D122</f>
        <v>2.0324571071629869</v>
      </c>
    </row>
    <row r="124" spans="1:6">
      <c r="A124" s="38"/>
      <c r="B124" s="24" t="s">
        <v>10</v>
      </c>
      <c r="C124" s="2">
        <f>C123*6/100</f>
        <v>5050.2477939129049</v>
      </c>
      <c r="D124" s="2">
        <f>C124/D11/12</f>
        <v>0.12194742642977922</v>
      </c>
    </row>
    <row r="125" spans="1:6">
      <c r="A125" s="38"/>
      <c r="B125" s="24" t="s">
        <v>8</v>
      </c>
      <c r="C125" s="2">
        <f>C123+C124</f>
        <v>89221.044359127991</v>
      </c>
      <c r="D125" s="2">
        <f>D123+D124</f>
        <v>2.154404533592766</v>
      </c>
    </row>
    <row r="126" spans="1:6">
      <c r="A126" s="38"/>
      <c r="B126" s="5" t="s">
        <v>11</v>
      </c>
      <c r="C126" s="2">
        <f>C125*4/100</f>
        <v>3568.8417743651198</v>
      </c>
      <c r="D126" s="2">
        <f>C126/D11/12</f>
        <v>8.6176181343710676E-2</v>
      </c>
    </row>
    <row r="127" spans="1:6">
      <c r="A127" s="38"/>
      <c r="B127" s="5" t="s">
        <v>8</v>
      </c>
      <c r="C127" s="2">
        <f>C125+C126</f>
        <v>92789.886133493113</v>
      </c>
      <c r="D127" s="2">
        <f>D125+D126</f>
        <v>2.2405807149364767</v>
      </c>
    </row>
    <row r="128" spans="1:6" ht="44.25" customHeight="1">
      <c r="A128" s="42" t="s">
        <v>64</v>
      </c>
      <c r="B128" s="5" t="s">
        <v>65</v>
      </c>
      <c r="C128" s="4">
        <f>C132+C140+C136</f>
        <v>1590.4583680000001</v>
      </c>
      <c r="D128" s="4">
        <f>D132+D140+D136</f>
        <v>3.8404512557795416E-2</v>
      </c>
      <c r="F128" s="17"/>
    </row>
    <row r="129" spans="1:5">
      <c r="A129" s="38" t="s">
        <v>35</v>
      </c>
      <c r="B129" s="5" t="s">
        <v>106</v>
      </c>
      <c r="C129" s="46"/>
      <c r="D129" s="4"/>
    </row>
    <row r="130" spans="1:5">
      <c r="A130" s="38"/>
      <c r="B130" s="24" t="s">
        <v>10</v>
      </c>
      <c r="C130" s="2">
        <f>3274.53*6/100</f>
        <v>196.4718</v>
      </c>
      <c r="D130" s="2">
        <f>C130/12/D11</f>
        <v>4.7441692672792234E-3</v>
      </c>
    </row>
    <row r="131" spans="1:5">
      <c r="A131" s="38"/>
      <c r="B131" s="5" t="s">
        <v>11</v>
      </c>
      <c r="C131" s="2">
        <f>(3274.53+C130)*4/100</f>
        <v>138.84007199999999</v>
      </c>
      <c r="D131" s="2">
        <f>C131/12/D11</f>
        <v>3.3525462822106508E-3</v>
      </c>
    </row>
    <row r="132" spans="1:5">
      <c r="A132" s="38"/>
      <c r="B132" s="5" t="s">
        <v>8</v>
      </c>
      <c r="C132" s="2">
        <f>C130+C131</f>
        <v>335.31187199999999</v>
      </c>
      <c r="D132" s="2">
        <f>D130+D131</f>
        <v>8.0967155494898746E-3</v>
      </c>
    </row>
    <row r="133" spans="1:5">
      <c r="A133" s="55" t="s">
        <v>36</v>
      </c>
      <c r="B133" s="5" t="s">
        <v>107</v>
      </c>
      <c r="C133" s="46"/>
      <c r="D133" s="4"/>
    </row>
    <row r="134" spans="1:5">
      <c r="A134" s="55"/>
      <c r="B134" s="24" t="s">
        <v>10</v>
      </c>
      <c r="C134" s="2">
        <f>2899.73*6/100</f>
        <v>173.9838</v>
      </c>
      <c r="D134" s="2">
        <f>C134/12/D11</f>
        <v>4.201155570236822E-3</v>
      </c>
    </row>
    <row r="135" spans="1:5">
      <c r="A135" s="55"/>
      <c r="B135" s="5" t="s">
        <v>11</v>
      </c>
      <c r="C135" s="2">
        <f>(2899.73+C134)*4/100</f>
        <v>122.94855200000001</v>
      </c>
      <c r="D135" s="2">
        <f>C135/12/D11</f>
        <v>2.9688166029673549E-3</v>
      </c>
    </row>
    <row r="136" spans="1:5">
      <c r="A136" s="55"/>
      <c r="B136" s="5" t="s">
        <v>8</v>
      </c>
      <c r="C136" s="2">
        <f>C134+C135</f>
        <v>296.93235200000004</v>
      </c>
      <c r="D136" s="2">
        <f>D134+D135</f>
        <v>7.1699721732041768E-3</v>
      </c>
    </row>
    <row r="137" spans="1:5">
      <c r="A137" s="38" t="s">
        <v>42</v>
      </c>
      <c r="B137" s="5" t="s">
        <v>108</v>
      </c>
      <c r="C137" s="46"/>
      <c r="D137" s="4"/>
    </row>
    <row r="138" spans="1:5">
      <c r="A138" s="38"/>
      <c r="B138" s="24" t="s">
        <v>10</v>
      </c>
      <c r="C138" s="2">
        <f>9357.56*6/100</f>
        <v>561.45360000000005</v>
      </c>
      <c r="D138" s="2">
        <f>C138/12/D11</f>
        <v>1.3557319239317207E-2</v>
      </c>
    </row>
    <row r="139" spans="1:5">
      <c r="A139" s="38"/>
      <c r="B139" s="5" t="s">
        <v>11</v>
      </c>
      <c r="C139" s="2">
        <f>(9357.56+C138)*4/100</f>
        <v>396.76054399999998</v>
      </c>
      <c r="D139" s="2">
        <f>C139/12/D11</f>
        <v>9.5805055957841577E-3</v>
      </c>
    </row>
    <row r="140" spans="1:5">
      <c r="A140" s="38"/>
      <c r="B140" s="5" t="s">
        <v>8</v>
      </c>
      <c r="C140" s="2">
        <f>C138+C139</f>
        <v>958.21414400000003</v>
      </c>
      <c r="D140" s="2">
        <f>D138+D139</f>
        <v>2.3137824835101364E-2</v>
      </c>
    </row>
    <row r="141" spans="1:5">
      <c r="A141" s="38"/>
      <c r="B141" s="6" t="s">
        <v>30</v>
      </c>
      <c r="C141" s="2">
        <f>C12+C47+C128</f>
        <v>793580.1187824161</v>
      </c>
      <c r="D141" s="2">
        <f>D12+D47+D128</f>
        <v>19.162436597269092</v>
      </c>
      <c r="E141" s="17"/>
    </row>
    <row r="142" spans="1:5" ht="28.5">
      <c r="A142" s="42" t="s">
        <v>66</v>
      </c>
      <c r="B142" s="24" t="s">
        <v>67</v>
      </c>
      <c r="C142" s="23">
        <v>112680.1306</v>
      </c>
      <c r="D142" s="57">
        <v>2.72</v>
      </c>
    </row>
    <row r="143" spans="1:5">
      <c r="A143" s="38"/>
      <c r="B143" s="41" t="s">
        <v>71</v>
      </c>
      <c r="C143" s="2">
        <f>C141+C142</f>
        <v>906260.24938241614</v>
      </c>
      <c r="D143" s="2">
        <f>D141+D142</f>
        <v>21.882436597269091</v>
      </c>
    </row>
    <row r="144" spans="1:5" ht="30.75" customHeight="1">
      <c r="A144" s="42" t="s">
        <v>72</v>
      </c>
      <c r="B144" s="24" t="s">
        <v>98</v>
      </c>
      <c r="C144" s="23">
        <f>D144*12*D11+0.04</f>
        <v>124240</v>
      </c>
      <c r="D144" s="57">
        <v>3</v>
      </c>
    </row>
    <row r="145" spans="1:4">
      <c r="A145" s="42" t="s">
        <v>95</v>
      </c>
      <c r="B145" s="3" t="s">
        <v>73</v>
      </c>
      <c r="C145" s="2">
        <f>D145*12*D11</f>
        <v>20706.66</v>
      </c>
      <c r="D145" s="2">
        <v>0.5</v>
      </c>
    </row>
    <row r="147" spans="1:4">
      <c r="B147" s="8"/>
      <c r="C147" s="15"/>
      <c r="D147" s="8"/>
    </row>
    <row r="148" spans="1:4">
      <c r="B148" s="9" t="s">
        <v>75</v>
      </c>
      <c r="C148" s="16"/>
      <c r="D148" s="10"/>
    </row>
    <row r="149" spans="1:4" ht="15.75">
      <c r="B149" s="30" t="s">
        <v>47</v>
      </c>
      <c r="C149" s="31"/>
      <c r="D149" s="30"/>
    </row>
    <row r="150" spans="1:4" ht="15.75">
      <c r="B150" s="30"/>
      <c r="C150" s="31"/>
      <c r="D150" s="30"/>
    </row>
    <row r="151" spans="1:4">
      <c r="B151" s="72" t="s">
        <v>31</v>
      </c>
      <c r="C151" s="72"/>
      <c r="D151" s="72"/>
    </row>
    <row r="152" spans="1:4" ht="15.75">
      <c r="B152" s="30"/>
      <c r="C152" s="31"/>
      <c r="D152" s="30"/>
    </row>
  </sheetData>
  <mergeCells count="11">
    <mergeCell ref="B7:D7"/>
    <mergeCell ref="C1:D1"/>
    <mergeCell ref="C2:D2"/>
    <mergeCell ref="C3:D3"/>
    <mergeCell ref="C4:D4"/>
    <mergeCell ref="B6:D6"/>
    <mergeCell ref="A9:A10"/>
    <mergeCell ref="B9:B10"/>
    <mergeCell ref="C9:C10"/>
    <mergeCell ref="D9:D10"/>
    <mergeCell ref="B151:D15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workbookViewId="0">
      <selection activeCell="D140" sqref="D140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49</v>
      </c>
      <c r="C7" s="66"/>
      <c r="D7" s="66"/>
    </row>
    <row r="8" spans="1:6" ht="8.25" customHeight="1">
      <c r="B8" s="39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38"/>
      <c r="B11" s="22" t="s">
        <v>53</v>
      </c>
      <c r="C11" s="2"/>
      <c r="D11" s="2">
        <v>1770.63</v>
      </c>
    </row>
    <row r="12" spans="1:6">
      <c r="A12" s="42" t="s">
        <v>51</v>
      </c>
      <c r="B12" s="24" t="s">
        <v>52</v>
      </c>
      <c r="C12" s="2">
        <f>C13+C24+C43</f>
        <v>118209.91473206478</v>
      </c>
      <c r="D12" s="2">
        <f>D13+D24+D43</f>
        <v>5.5634583327245455</v>
      </c>
    </row>
    <row r="13" spans="1:6">
      <c r="A13" s="38" t="s">
        <v>35</v>
      </c>
      <c r="B13" s="24" t="s">
        <v>70</v>
      </c>
      <c r="C13" s="2">
        <f>C23</f>
        <v>64082.764336629509</v>
      </c>
      <c r="D13" s="2">
        <f>D23</f>
        <v>3.0160058066257722</v>
      </c>
      <c r="F13" s="17"/>
    </row>
    <row r="14" spans="1:6">
      <c r="A14" s="38"/>
      <c r="B14" s="24" t="s">
        <v>13</v>
      </c>
      <c r="C14" s="13">
        <f>(2363756.52+40177.8)/56146.82*D11-34500</f>
        <v>41309.782727171376</v>
      </c>
      <c r="D14" s="13">
        <f>C14/D11/12</f>
        <v>1.9442130167968168</v>
      </c>
    </row>
    <row r="15" spans="1:6" ht="28.5">
      <c r="A15" s="38"/>
      <c r="B15" s="27" t="s">
        <v>5</v>
      </c>
      <c r="C15" s="2">
        <f>C14*0.302</f>
        <v>12475.554383605755</v>
      </c>
      <c r="D15" s="2">
        <f>D14*0.302</f>
        <v>0.58715233107263864</v>
      </c>
    </row>
    <row r="16" spans="1:6">
      <c r="A16" s="38"/>
      <c r="B16" s="24" t="s">
        <v>6</v>
      </c>
      <c r="C16" s="14">
        <f>50000/56146.82*D11</f>
        <v>1576.7856487687104</v>
      </c>
      <c r="D16" s="2">
        <f>C16/D11/12</f>
        <v>7.421019866604496E-2</v>
      </c>
    </row>
    <row r="17" spans="1:4">
      <c r="A17" s="38"/>
      <c r="B17" s="24" t="s">
        <v>8</v>
      </c>
      <c r="C17" s="2">
        <f>C14+C15+C16</f>
        <v>55362.12275954584</v>
      </c>
      <c r="D17" s="2">
        <f>D14+D15+D16</f>
        <v>2.6055755465355004</v>
      </c>
    </row>
    <row r="18" spans="1:4">
      <c r="A18" s="38"/>
      <c r="B18" s="3" t="s">
        <v>9</v>
      </c>
      <c r="C18" s="2">
        <f>C17*5/100</f>
        <v>2768.1061379772918</v>
      </c>
      <c r="D18" s="2">
        <f>D17*5/100</f>
        <v>0.13027877732677504</v>
      </c>
    </row>
    <row r="19" spans="1:4">
      <c r="A19" s="38"/>
      <c r="B19" s="24" t="s">
        <v>8</v>
      </c>
      <c r="C19" s="2">
        <f>C17+C18</f>
        <v>58130.228897523135</v>
      </c>
      <c r="D19" s="2">
        <f>D17+D18</f>
        <v>2.7358543238622755</v>
      </c>
    </row>
    <row r="20" spans="1:4">
      <c r="A20" s="38"/>
      <c r="B20" s="24" t="s">
        <v>10</v>
      </c>
      <c r="C20" s="2">
        <f>C19*6/100</f>
        <v>3487.813733851388</v>
      </c>
      <c r="D20" s="2">
        <f>D19*6/100</f>
        <v>0.16415125943173653</v>
      </c>
    </row>
    <row r="21" spans="1:4">
      <c r="A21" s="38"/>
      <c r="B21" s="24" t="s">
        <v>8</v>
      </c>
      <c r="C21" s="2">
        <f>C19+C20</f>
        <v>61618.042631374527</v>
      </c>
      <c r="D21" s="2">
        <f>D19+D20</f>
        <v>2.9000055832940119</v>
      </c>
    </row>
    <row r="22" spans="1:4">
      <c r="A22" s="38"/>
      <c r="B22" s="5" t="s">
        <v>11</v>
      </c>
      <c r="C22" s="2">
        <f>C21*4/100</f>
        <v>2464.7217052549809</v>
      </c>
      <c r="D22" s="2">
        <f>D21*4/100</f>
        <v>0.11600022333176048</v>
      </c>
    </row>
    <row r="23" spans="1:4">
      <c r="A23" s="38"/>
      <c r="B23" s="5" t="s">
        <v>8</v>
      </c>
      <c r="C23" s="2">
        <f>C21+C22</f>
        <v>64082.764336629509</v>
      </c>
      <c r="D23" s="2">
        <f>D21+D22</f>
        <v>3.0160058066257722</v>
      </c>
    </row>
    <row r="24" spans="1:4">
      <c r="A24" s="38" t="s">
        <v>36</v>
      </c>
      <c r="B24" s="24" t="s">
        <v>69</v>
      </c>
      <c r="C24" s="2">
        <f>C42</f>
        <v>43451.820395435272</v>
      </c>
      <c r="D24" s="2">
        <f>D42</f>
        <v>2.0450263651654716</v>
      </c>
    </row>
    <row r="25" spans="1:4">
      <c r="A25" s="38"/>
      <c r="B25" s="3" t="s">
        <v>17</v>
      </c>
      <c r="C25" s="2">
        <f>16000/56146.82*D11</f>
        <v>504.5714076059873</v>
      </c>
      <c r="D25" s="2">
        <f>C25/D11/12</f>
        <v>2.3747263573134388E-2</v>
      </c>
    </row>
    <row r="26" spans="1:4">
      <c r="A26" s="38"/>
      <c r="B26" s="3" t="s">
        <v>18</v>
      </c>
      <c r="C26" s="2">
        <f>((23200+5300)*12)/56146.82*D11</f>
        <v>10785.21383757798</v>
      </c>
      <c r="D26" s="2">
        <f>C26/D11/12</f>
        <v>0.50759775887574754</v>
      </c>
    </row>
    <row r="27" spans="1:4">
      <c r="A27" s="38"/>
      <c r="B27" s="3" t="s">
        <v>19</v>
      </c>
      <c r="C27" s="2">
        <f>26500*12/56146.82*D11</f>
        <v>10028.356726168999</v>
      </c>
      <c r="D27" s="2">
        <f>C27/D11/12</f>
        <v>0.47197686351604595</v>
      </c>
    </row>
    <row r="28" spans="1:4">
      <c r="A28" s="38"/>
      <c r="B28" s="3" t="s">
        <v>20</v>
      </c>
      <c r="C28" s="2">
        <f>45000/56146.82*D11</f>
        <v>1419.1070838918392</v>
      </c>
      <c r="D28" s="2">
        <f>C28/D11/12</f>
        <v>6.6789178799440463E-2</v>
      </c>
    </row>
    <row r="29" spans="1:4">
      <c r="A29" s="38"/>
      <c r="B29" s="3" t="s">
        <v>21</v>
      </c>
      <c r="C29" s="2">
        <f>56221.5/56146.82*D11</f>
        <v>1772.9850870450011</v>
      </c>
      <c r="D29" s="2">
        <f>C29/D11/12</f>
        <v>8.3444173686060941E-2</v>
      </c>
    </row>
    <row r="30" spans="1:4">
      <c r="A30" s="38"/>
      <c r="B30" s="3" t="s">
        <v>22</v>
      </c>
      <c r="C30" s="2">
        <f>80170.37/56146.82*D11</f>
        <v>2528.229777449551</v>
      </c>
      <c r="D30" s="2">
        <f>C30/D11/12</f>
        <v>0.11898918169660661</v>
      </c>
    </row>
    <row r="31" spans="1:4">
      <c r="A31" s="38"/>
      <c r="B31" s="3" t="s">
        <v>23</v>
      </c>
      <c r="C31" s="2">
        <f>93800/56146.82*D11</f>
        <v>2958.0498770901008</v>
      </c>
      <c r="D31" s="2">
        <f>C31/D11/12</f>
        <v>0.13921833269750036</v>
      </c>
    </row>
    <row r="32" spans="1:4">
      <c r="A32" s="38"/>
      <c r="B32" s="3" t="s">
        <v>24</v>
      </c>
      <c r="C32" s="2">
        <f>7000/56146.82*D11</f>
        <v>220.74999082761946</v>
      </c>
      <c r="D32" s="2">
        <f>C32/D11/12</f>
        <v>1.0389427813246295E-2</v>
      </c>
    </row>
    <row r="33" spans="1:5">
      <c r="A33" s="38"/>
      <c r="B33" s="3" t="s">
        <v>25</v>
      </c>
      <c r="C33" s="2">
        <f>113064/56146.82*D11</f>
        <v>3565.5538518477092</v>
      </c>
      <c r="D33" s="2">
        <f>C33/D11/12</f>
        <v>0.16781003803955416</v>
      </c>
    </row>
    <row r="34" spans="1:5">
      <c r="A34" s="38"/>
      <c r="B34" s="3" t="s">
        <v>26</v>
      </c>
      <c r="C34" s="2">
        <f>84600/56146.82*D11</f>
        <v>2667.921317716658</v>
      </c>
      <c r="D34" s="2">
        <f>C34/D11/12</f>
        <v>0.12556365614294809</v>
      </c>
    </row>
    <row r="35" spans="1:5">
      <c r="A35" s="38"/>
      <c r="B35" s="3" t="s">
        <v>27</v>
      </c>
      <c r="C35" s="2">
        <f>34500/56146.82*D11</f>
        <v>1087.9820976504102</v>
      </c>
      <c r="D35" s="2">
        <f>C35/D11/12</f>
        <v>5.1205037079571025E-2</v>
      </c>
    </row>
    <row r="36" spans="1:5">
      <c r="A36" s="38"/>
      <c r="B36" s="24" t="s">
        <v>8</v>
      </c>
      <c r="C36" s="2">
        <f>SUM(C25:C35)</f>
        <v>37538.721054871858</v>
      </c>
      <c r="D36" s="2">
        <f>SUM(D25:D35)</f>
        <v>1.766730911919856</v>
      </c>
    </row>
    <row r="37" spans="1:5">
      <c r="A37" s="38"/>
      <c r="B37" s="3" t="s">
        <v>9</v>
      </c>
      <c r="C37" s="2">
        <f>C36*5/100</f>
        <v>1876.9360527435929</v>
      </c>
      <c r="D37" s="2">
        <f>D36*5/100</f>
        <v>8.8336545595992799E-2</v>
      </c>
    </row>
    <row r="38" spans="1:5">
      <c r="A38" s="38"/>
      <c r="B38" s="24" t="s">
        <v>8</v>
      </c>
      <c r="C38" s="2">
        <f>C36+C37</f>
        <v>39415.657107615451</v>
      </c>
      <c r="D38" s="2">
        <f>D36+D37</f>
        <v>1.8550674575158488</v>
      </c>
    </row>
    <row r="39" spans="1:5">
      <c r="A39" s="38"/>
      <c r="B39" s="24" t="s">
        <v>10</v>
      </c>
      <c r="C39" s="2">
        <f>C38*6/100</f>
        <v>2364.9394264569269</v>
      </c>
      <c r="D39" s="2">
        <f>D38*6/100</f>
        <v>0.11130404745095092</v>
      </c>
    </row>
    <row r="40" spans="1:5">
      <c r="A40" s="38"/>
      <c r="B40" s="24" t="s">
        <v>8</v>
      </c>
      <c r="C40" s="2">
        <f>C38+C39</f>
        <v>41780.596534072378</v>
      </c>
      <c r="D40" s="2">
        <f>D38+D39</f>
        <v>1.9663715049667998</v>
      </c>
    </row>
    <row r="41" spans="1:5">
      <c r="A41" s="38"/>
      <c r="B41" s="5" t="s">
        <v>11</v>
      </c>
      <c r="C41" s="2">
        <f>C40*4/100</f>
        <v>1671.2238613628951</v>
      </c>
      <c r="D41" s="2">
        <f>D40*4/100</f>
        <v>7.8654860198671989E-2</v>
      </c>
    </row>
    <row r="42" spans="1:5">
      <c r="A42" s="38"/>
      <c r="B42" s="5" t="s">
        <v>8</v>
      </c>
      <c r="C42" s="2">
        <f>SUM(C40:C41)</f>
        <v>43451.820395435272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10675.33</v>
      </c>
      <c r="D43" s="2">
        <f>D46</f>
        <v>0.50242616093330239</v>
      </c>
    </row>
    <row r="44" spans="1:5">
      <c r="A44" s="38"/>
      <c r="B44" s="5" t="s">
        <v>28</v>
      </c>
      <c r="C44" s="46">
        <v>9289.2800000000007</v>
      </c>
      <c r="D44" s="4">
        <f>C44/12/D11</f>
        <v>0.43719278825427482</v>
      </c>
    </row>
    <row r="45" spans="1:5" ht="19.5" customHeight="1">
      <c r="A45" s="38"/>
      <c r="B45" s="5" t="s">
        <v>29</v>
      </c>
      <c r="C45" s="46">
        <v>1386.05</v>
      </c>
      <c r="D45" s="4">
        <f>C45/12/D11</f>
        <v>6.523337267902761E-2</v>
      </c>
    </row>
    <row r="46" spans="1:5">
      <c r="A46" s="38"/>
      <c r="B46" s="5" t="s">
        <v>8</v>
      </c>
      <c r="C46" s="4">
        <f>C44+C45</f>
        <v>10675.33</v>
      </c>
      <c r="D46" s="4">
        <f>D44+D45</f>
        <v>0.50242616093330239</v>
      </c>
      <c r="E46" s="40"/>
    </row>
    <row r="47" spans="1:5">
      <c r="A47" s="42" t="s">
        <v>54</v>
      </c>
      <c r="B47" s="5" t="s">
        <v>55</v>
      </c>
      <c r="C47" s="2">
        <f>C48+C59+C102</f>
        <v>217318.41958626921</v>
      </c>
      <c r="D47" s="2">
        <f>D48+D59+D102</f>
        <v>10.227923563282994</v>
      </c>
    </row>
    <row r="48" spans="1:5" ht="47.25" customHeight="1">
      <c r="A48" s="38" t="s">
        <v>35</v>
      </c>
      <c r="B48" s="28" t="s">
        <v>46</v>
      </c>
      <c r="C48" s="4">
        <f>C58</f>
        <v>19608.687339318287</v>
      </c>
      <c r="D48" s="4">
        <f>D58</f>
        <v>0.92286772407364825</v>
      </c>
    </row>
    <row r="49" spans="1:7">
      <c r="A49" s="38"/>
      <c r="B49" s="24" t="s">
        <v>13</v>
      </c>
      <c r="C49" s="2">
        <f>(214308.36+159867.48)/56146.82*D11</f>
        <v>11799.901892559543</v>
      </c>
      <c r="D49" s="2">
        <f>C49/D11/12</f>
        <v>0.55535326844868504</v>
      </c>
    </row>
    <row r="50" spans="1:7">
      <c r="A50" s="38"/>
      <c r="B50" s="24" t="s">
        <v>14</v>
      </c>
      <c r="C50" s="2">
        <f>C49*0.302</f>
        <v>3563.5703715529817</v>
      </c>
      <c r="D50" s="2">
        <f>C50/D11/12</f>
        <v>0.16771668707150286</v>
      </c>
    </row>
    <row r="51" spans="1:7">
      <c r="A51" s="38"/>
      <c r="B51" s="24" t="s">
        <v>6</v>
      </c>
      <c r="C51" s="13">
        <f>50000/56146.82*D11</f>
        <v>1576.7856487687104</v>
      </c>
      <c r="D51" s="2">
        <f>C51/D11/12</f>
        <v>7.421019866604496E-2</v>
      </c>
    </row>
    <row r="52" spans="1:7">
      <c r="A52" s="38"/>
      <c r="B52" s="24" t="s">
        <v>8</v>
      </c>
      <c r="C52" s="2">
        <f>C49+C50+C51</f>
        <v>16940.257912881236</v>
      </c>
      <c r="D52" s="2">
        <f>D49+D50+D51</f>
        <v>0.79728015418623288</v>
      </c>
    </row>
    <row r="53" spans="1:7">
      <c r="A53" s="38"/>
      <c r="B53" s="3" t="s">
        <v>9</v>
      </c>
      <c r="C53" s="2">
        <f>C52*5/100</f>
        <v>847.01289564406181</v>
      </c>
      <c r="D53" s="2">
        <f>D52*5/100</f>
        <v>3.9864007709311644E-2</v>
      </c>
    </row>
    <row r="54" spans="1:7">
      <c r="A54" s="38"/>
      <c r="B54" s="24" t="s">
        <v>8</v>
      </c>
      <c r="C54" s="2">
        <f>C52+C53</f>
        <v>17787.270808525296</v>
      </c>
      <c r="D54" s="2">
        <f>D52+D53</f>
        <v>0.83714416189554453</v>
      </c>
    </row>
    <row r="55" spans="1:7">
      <c r="A55" s="38"/>
      <c r="B55" s="24" t="s">
        <v>10</v>
      </c>
      <c r="C55" s="2">
        <f>C54*6/100</f>
        <v>1067.2362485115177</v>
      </c>
      <c r="D55" s="2">
        <f>D54*6/100</f>
        <v>5.022864971373267E-2</v>
      </c>
    </row>
    <row r="56" spans="1:7">
      <c r="A56" s="38"/>
      <c r="B56" s="24" t="s">
        <v>8</v>
      </c>
      <c r="C56" s="2">
        <f>C54+C55</f>
        <v>18854.507057036815</v>
      </c>
      <c r="D56" s="2">
        <f>D54+D55</f>
        <v>0.88737281160927717</v>
      </c>
    </row>
    <row r="57" spans="1:7">
      <c r="A57" s="38"/>
      <c r="B57" s="5" t="s">
        <v>11</v>
      </c>
      <c r="C57" s="2">
        <f>C56*4/100</f>
        <v>754.18028228147261</v>
      </c>
      <c r="D57" s="2">
        <f>D56*4/100</f>
        <v>3.5494912464371087E-2</v>
      </c>
    </row>
    <row r="58" spans="1:7">
      <c r="A58" s="38"/>
      <c r="B58" s="5" t="s">
        <v>8</v>
      </c>
      <c r="C58" s="2">
        <f>C56+C57</f>
        <v>19608.687339318287</v>
      </c>
      <c r="D58" s="2">
        <f>D56+D57</f>
        <v>0.92286772407364825</v>
      </c>
    </row>
    <row r="59" spans="1:7" ht="63">
      <c r="A59" s="38" t="s">
        <v>36</v>
      </c>
      <c r="B59" s="28" t="s">
        <v>37</v>
      </c>
      <c r="C59" s="23">
        <f>C60+C71+C82+C93+C101</f>
        <v>135351.21304890269</v>
      </c>
      <c r="D59" s="23">
        <f>D60+D71+D82+D93+D101</f>
        <v>6.3702002982414294</v>
      </c>
      <c r="G59" s="17"/>
    </row>
    <row r="60" spans="1:7">
      <c r="A60" s="38" t="s">
        <v>38</v>
      </c>
      <c r="B60" s="24" t="s">
        <v>40</v>
      </c>
      <c r="C60" s="2">
        <f>C70</f>
        <v>27708.118502379471</v>
      </c>
      <c r="D60" s="2">
        <f>D70</f>
        <v>1.3040611958445805</v>
      </c>
    </row>
    <row r="61" spans="1:7">
      <c r="A61" s="38"/>
      <c r="B61" s="24" t="s">
        <v>13</v>
      </c>
      <c r="C61" s="2">
        <f>(402940.32+0.5*298665.6)/56146.82*D11</f>
        <v>17416.326596334398</v>
      </c>
      <c r="D61" s="2">
        <f>C61/D11/12</f>
        <v>0.81968595906232988</v>
      </c>
    </row>
    <row r="62" spans="1:7">
      <c r="A62" s="38"/>
      <c r="B62" s="24" t="s">
        <v>14</v>
      </c>
      <c r="C62" s="2">
        <f>C61*0.302</f>
        <v>5259.7306320929883</v>
      </c>
      <c r="D62" s="2">
        <f>C62/D11/12</f>
        <v>0.24754515963682364</v>
      </c>
    </row>
    <row r="63" spans="1:7">
      <c r="A63" s="38"/>
      <c r="B63" s="24" t="s">
        <v>6</v>
      </c>
      <c r="C63" s="13">
        <f>40000/56146.82*D11</f>
        <v>1261.4285190149683</v>
      </c>
      <c r="D63" s="2">
        <f>C63/D11/12</f>
        <v>5.9368158932835972E-2</v>
      </c>
    </row>
    <row r="64" spans="1:7">
      <c r="A64" s="38"/>
      <c r="B64" s="24" t="s">
        <v>8</v>
      </c>
      <c r="C64" s="2">
        <f>C61+C62+C63</f>
        <v>23937.485747442355</v>
      </c>
      <c r="D64" s="2">
        <f>D61+D62+D63</f>
        <v>1.1265992776319893</v>
      </c>
    </row>
    <row r="65" spans="1:4">
      <c r="A65" s="38"/>
      <c r="B65" s="3" t="s">
        <v>9</v>
      </c>
      <c r="C65" s="2">
        <f>C64*5/100</f>
        <v>1196.8742873721176</v>
      </c>
      <c r="D65" s="2">
        <f>D64*5/100</f>
        <v>5.6329963881599464E-2</v>
      </c>
    </row>
    <row r="66" spans="1:4">
      <c r="A66" s="38"/>
      <c r="B66" s="24" t="s">
        <v>8</v>
      </c>
      <c r="C66" s="2">
        <f>C64+C65</f>
        <v>25134.360034814472</v>
      </c>
      <c r="D66" s="2">
        <f>D64+D65</f>
        <v>1.1829292415135888</v>
      </c>
    </row>
    <row r="67" spans="1:4">
      <c r="A67" s="38"/>
      <c r="B67" s="24" t="s">
        <v>10</v>
      </c>
      <c r="C67" s="2">
        <f>C66*6/100</f>
        <v>1508.0616020888683</v>
      </c>
      <c r="D67" s="2">
        <f>D66*6/100</f>
        <v>7.0975754490815335E-2</v>
      </c>
    </row>
    <row r="68" spans="1:4">
      <c r="A68" s="38"/>
      <c r="B68" s="24" t="s">
        <v>8</v>
      </c>
      <c r="C68" s="2">
        <f>C66+C67</f>
        <v>26642.421636903338</v>
      </c>
      <c r="D68" s="2">
        <f>D66+D67</f>
        <v>1.2539049960044042</v>
      </c>
    </row>
    <row r="69" spans="1:4">
      <c r="A69" s="38"/>
      <c r="B69" s="5" t="s">
        <v>11</v>
      </c>
      <c r="C69" s="2">
        <f>C68*4/100</f>
        <v>1065.6968654761336</v>
      </c>
      <c r="D69" s="2">
        <f>D68*4/100</f>
        <v>5.015619984017617E-2</v>
      </c>
    </row>
    <row r="70" spans="1:4">
      <c r="A70" s="38"/>
      <c r="B70" s="5" t="s">
        <v>8</v>
      </c>
      <c r="C70" s="2">
        <f>C68+C69</f>
        <v>27708.118502379471</v>
      </c>
      <c r="D70" s="2">
        <f>D68+D69</f>
        <v>1.3040611958445805</v>
      </c>
    </row>
    <row r="71" spans="1:4">
      <c r="A71" s="38" t="s">
        <v>39</v>
      </c>
      <c r="B71" s="24" t="s">
        <v>41</v>
      </c>
      <c r="C71" s="2">
        <f>C81</f>
        <v>11701.356982996191</v>
      </c>
      <c r="D71" s="2">
        <f>D81</f>
        <v>0.55071532839517534</v>
      </c>
    </row>
    <row r="72" spans="1:4">
      <c r="A72" s="38"/>
      <c r="B72" s="24" t="s">
        <v>13</v>
      </c>
      <c r="C72" s="2">
        <f>(171109.32+0.2*298665.6)/56146.82*D11</f>
        <v>7279.7809303750419</v>
      </c>
      <c r="D72" s="2">
        <f>C72/D11/12</f>
        <v>0.34261726665909126</v>
      </c>
    </row>
    <row r="73" spans="1:4" ht="28.5">
      <c r="A73" s="38"/>
      <c r="B73" s="27" t="s">
        <v>5</v>
      </c>
      <c r="C73" s="2">
        <f>C72*0.302</f>
        <v>2198.4938409732626</v>
      </c>
      <c r="D73" s="2">
        <f>C73/D11/12</f>
        <v>0.10347041453104557</v>
      </c>
    </row>
    <row r="74" spans="1:4">
      <c r="A74" s="38"/>
      <c r="B74" s="24" t="s">
        <v>6</v>
      </c>
      <c r="C74" s="13">
        <f>20000/56146.82*D11</f>
        <v>630.71425950748414</v>
      </c>
      <c r="D74" s="2">
        <f>C74/D11/12</f>
        <v>2.9684079466417986E-2</v>
      </c>
    </row>
    <row r="75" spans="1:4">
      <c r="A75" s="38"/>
      <c r="B75" s="24" t="s">
        <v>8</v>
      </c>
      <c r="C75" s="2">
        <f>C72+C73+C74</f>
        <v>10108.989030855788</v>
      </c>
      <c r="D75" s="2">
        <f>D72+D73+D74</f>
        <v>0.4757717606565548</v>
      </c>
    </row>
    <row r="76" spans="1:4">
      <c r="A76" s="38"/>
      <c r="B76" s="3" t="s">
        <v>9</v>
      </c>
      <c r="C76" s="2">
        <f>C75*5/100</f>
        <v>505.4494515427894</v>
      </c>
      <c r="D76" s="2">
        <f>D75*5/100</f>
        <v>2.3788588032827736E-2</v>
      </c>
    </row>
    <row r="77" spans="1:4">
      <c r="A77" s="38"/>
      <c r="B77" s="24" t="s">
        <v>8</v>
      </c>
      <c r="C77" s="2">
        <f>C75+C76</f>
        <v>10614.438482398577</v>
      </c>
      <c r="D77" s="2">
        <f>D75+D76</f>
        <v>0.49956034868938254</v>
      </c>
    </row>
    <row r="78" spans="1:4">
      <c r="A78" s="38"/>
      <c r="B78" s="24" t="s">
        <v>10</v>
      </c>
      <c r="C78" s="2">
        <f>C77*6/100</f>
        <v>636.86630894391465</v>
      </c>
      <c r="D78" s="2">
        <f>D77*6/100</f>
        <v>2.9973620921362954E-2</v>
      </c>
    </row>
    <row r="79" spans="1:4">
      <c r="A79" s="38"/>
      <c r="B79" s="24" t="s">
        <v>8</v>
      </c>
      <c r="C79" s="2">
        <f>C77+C78</f>
        <v>11251.304791342491</v>
      </c>
      <c r="D79" s="2">
        <f>D77+D78</f>
        <v>0.5295339696107455</v>
      </c>
    </row>
    <row r="80" spans="1:4">
      <c r="A80" s="38"/>
      <c r="B80" s="5" t="s">
        <v>11</v>
      </c>
      <c r="C80" s="2">
        <f>C79*4/100</f>
        <v>450.05219165369965</v>
      </c>
      <c r="D80" s="2">
        <f>D79*4/100</f>
        <v>2.1181358784429821E-2</v>
      </c>
    </row>
    <row r="81" spans="1:4">
      <c r="A81" s="38"/>
      <c r="B81" s="5" t="s">
        <v>8</v>
      </c>
      <c r="C81" s="2">
        <f>C79+C80</f>
        <v>11701.356982996191</v>
      </c>
      <c r="D81" s="2">
        <f>D79+D80</f>
        <v>0.55071532839517534</v>
      </c>
    </row>
    <row r="82" spans="1:4" ht="30.75" customHeight="1">
      <c r="A82" s="38" t="s">
        <v>56</v>
      </c>
      <c r="B82" s="28" t="s">
        <v>43</v>
      </c>
      <c r="C82" s="2">
        <f>C92</f>
        <v>70939.305563527014</v>
      </c>
      <c r="D82" s="2">
        <f>D92</f>
        <v>3.3387036235467509</v>
      </c>
    </row>
    <row r="83" spans="1:4">
      <c r="A83" s="38"/>
      <c r="B83" s="24" t="s">
        <v>13</v>
      </c>
      <c r="C83" s="2">
        <f>(1395324.48+0.3*298665.6)/56146.82*D11</f>
        <v>46828.142099958648</v>
      </c>
      <c r="D83" s="2">
        <f>C83/D11/12</f>
        <v>2.2039303383521989</v>
      </c>
    </row>
    <row r="84" spans="1:4" ht="28.5">
      <c r="A84" s="38"/>
      <c r="B84" s="27" t="s">
        <v>5</v>
      </c>
      <c r="C84" s="2">
        <f>C83*0.302</f>
        <v>14142.098914187511</v>
      </c>
      <c r="D84" s="2">
        <f>D83*0.302</f>
        <v>0.66558696218236402</v>
      </c>
    </row>
    <row r="85" spans="1:4">
      <c r="A85" s="38"/>
      <c r="B85" s="24" t="s">
        <v>6</v>
      </c>
      <c r="C85" s="13">
        <f>10000/56146.82*D11</f>
        <v>315.35712975374207</v>
      </c>
      <c r="D85" s="2">
        <f>C85/D11/12</f>
        <v>1.4842039733208993E-2</v>
      </c>
    </row>
    <row r="86" spans="1:4">
      <c r="A86" s="38"/>
      <c r="B86" s="24" t="s">
        <v>15</v>
      </c>
      <c r="C86" s="2">
        <f>C83+C84+C85</f>
        <v>61285.598143899901</v>
      </c>
      <c r="D86" s="2">
        <f>D83+D84+D85</f>
        <v>2.8843593402677716</v>
      </c>
    </row>
    <row r="87" spans="1:4">
      <c r="A87" s="38"/>
      <c r="B87" s="3" t="s">
        <v>9</v>
      </c>
      <c r="C87" s="2">
        <f>C86*5/100</f>
        <v>3064.2799071949953</v>
      </c>
      <c r="D87" s="2">
        <f>D86*5/100</f>
        <v>0.14421796701338857</v>
      </c>
    </row>
    <row r="88" spans="1:4">
      <c r="A88" s="38"/>
      <c r="B88" s="24" t="s">
        <v>8</v>
      </c>
      <c r="C88" s="2">
        <f>C86+C87</f>
        <v>64349.878051094893</v>
      </c>
      <c r="D88" s="2">
        <f>D86+D87</f>
        <v>3.0285773072811604</v>
      </c>
    </row>
    <row r="89" spans="1:4">
      <c r="A89" s="38"/>
      <c r="B89" s="24" t="s">
        <v>10</v>
      </c>
      <c r="C89" s="2">
        <f>C88*6/100</f>
        <v>3860.9926830656937</v>
      </c>
      <c r="D89" s="2">
        <f>D88*6/100</f>
        <v>0.18171463843686961</v>
      </c>
    </row>
    <row r="90" spans="1:4">
      <c r="A90" s="38"/>
      <c r="B90" s="24" t="s">
        <v>8</v>
      </c>
      <c r="C90" s="2">
        <f>C88+C89</f>
        <v>68210.870734160591</v>
      </c>
      <c r="D90" s="2">
        <f>D88+D89</f>
        <v>3.2102919457180299</v>
      </c>
    </row>
    <row r="91" spans="1:4">
      <c r="A91" s="38"/>
      <c r="B91" s="5" t="s">
        <v>11</v>
      </c>
      <c r="C91" s="2">
        <f>C90*4/100</f>
        <v>2728.4348293664239</v>
      </c>
      <c r="D91" s="2">
        <f>D90*4/100</f>
        <v>0.1284116778287212</v>
      </c>
    </row>
    <row r="92" spans="1:4">
      <c r="A92" s="38"/>
      <c r="B92" s="5" t="s">
        <v>8</v>
      </c>
      <c r="C92" s="2">
        <f>C90+C91</f>
        <v>70939.305563527014</v>
      </c>
      <c r="D92" s="2">
        <f>D90+D91</f>
        <v>3.3387036235467509</v>
      </c>
    </row>
    <row r="93" spans="1:4" ht="31.5">
      <c r="A93" s="38" t="s">
        <v>57</v>
      </c>
      <c r="B93" s="28" t="s">
        <v>44</v>
      </c>
      <c r="C93" s="23">
        <f>C100</f>
        <v>25002.432000000001</v>
      </c>
      <c r="D93" s="23">
        <f>D100</f>
        <v>1.1767201504549227</v>
      </c>
    </row>
    <row r="94" spans="1:4">
      <c r="A94" s="38"/>
      <c r="B94" s="3" t="s">
        <v>16</v>
      </c>
      <c r="C94" s="13">
        <f>40*180*3</f>
        <v>21600</v>
      </c>
      <c r="D94" s="2">
        <f>C94/D11/12</f>
        <v>1.0165873163789159</v>
      </c>
    </row>
    <row r="95" spans="1:4">
      <c r="A95" s="38"/>
      <c r="B95" s="3" t="s">
        <v>9</v>
      </c>
      <c r="C95" s="2">
        <f>C94*5/100</f>
        <v>1080</v>
      </c>
      <c r="D95" s="2">
        <f>D94*5/100</f>
        <v>5.0829365818945788E-2</v>
      </c>
    </row>
    <row r="96" spans="1:4">
      <c r="A96" s="38"/>
      <c r="B96" s="24" t="s">
        <v>8</v>
      </c>
      <c r="C96" s="2">
        <f>C94+C95</f>
        <v>22680</v>
      </c>
      <c r="D96" s="2">
        <f>D94+D95</f>
        <v>1.0674166821978617</v>
      </c>
    </row>
    <row r="97" spans="1:4">
      <c r="A97" s="38"/>
      <c r="B97" s="24" t="s">
        <v>10</v>
      </c>
      <c r="C97" s="2">
        <f>C96*6/100</f>
        <v>1360.8</v>
      </c>
      <c r="D97" s="2">
        <f>D96*6/100</f>
        <v>6.404500093187171E-2</v>
      </c>
    </row>
    <row r="98" spans="1:4">
      <c r="A98" s="38"/>
      <c r="B98" s="24" t="s">
        <v>8</v>
      </c>
      <c r="C98" s="2">
        <f>C96+C97</f>
        <v>24040.799999999999</v>
      </c>
      <c r="D98" s="2">
        <f>D96+D97</f>
        <v>1.1314616831297335</v>
      </c>
    </row>
    <row r="99" spans="1:4">
      <c r="A99" s="38"/>
      <c r="B99" s="5" t="s">
        <v>11</v>
      </c>
      <c r="C99" s="2">
        <f>C98*4/100</f>
        <v>961.63199999999995</v>
      </c>
      <c r="D99" s="2">
        <f>D98*4/100</f>
        <v>4.5258467325189337E-2</v>
      </c>
    </row>
    <row r="100" spans="1:4">
      <c r="A100" s="38"/>
      <c r="B100" s="5" t="s">
        <v>8</v>
      </c>
      <c r="C100" s="2">
        <f>C98+C99</f>
        <v>25002.432000000001</v>
      </c>
      <c r="D100" s="2">
        <f>D98+D99</f>
        <v>1.1767201504549227</v>
      </c>
    </row>
    <row r="101" spans="1:4" ht="31.5">
      <c r="A101" s="38" t="s">
        <v>58</v>
      </c>
      <c r="B101" s="28" t="s">
        <v>88</v>
      </c>
      <c r="C101" s="13">
        <v>0</v>
      </c>
      <c r="D101" s="13">
        <v>0</v>
      </c>
    </row>
    <row r="102" spans="1:4" ht="29.25">
      <c r="A102" s="37" t="s">
        <v>42</v>
      </c>
      <c r="B102" s="22" t="s">
        <v>59</v>
      </c>
      <c r="C102" s="23">
        <f>C114+C126</f>
        <v>62358.519198048256</v>
      </c>
      <c r="D102" s="23">
        <f>D114+D126</f>
        <v>2.934855540967916</v>
      </c>
    </row>
    <row r="103" spans="1:4" ht="28.5">
      <c r="A103" s="38" t="s">
        <v>61</v>
      </c>
      <c r="B103" s="24" t="s">
        <v>60</v>
      </c>
      <c r="C103" s="25">
        <f>C114</f>
        <v>23449.130502120963</v>
      </c>
      <c r="D103" s="2">
        <f>D114</f>
        <v>1.1036152152115801</v>
      </c>
    </row>
    <row r="104" spans="1:4">
      <c r="A104" s="38"/>
      <c r="B104" s="26" t="s">
        <v>4</v>
      </c>
      <c r="C104" s="33">
        <f>143.9*91.16</f>
        <v>13117.924000000001</v>
      </c>
      <c r="D104" s="2">
        <f>C104/D11/12</f>
        <v>0.61738496090845252</v>
      </c>
    </row>
    <row r="105" spans="1:4" ht="28.5">
      <c r="A105" s="38"/>
      <c r="B105" s="27" t="s">
        <v>5</v>
      </c>
      <c r="C105" s="2">
        <f>C104*0.302</f>
        <v>3961.6130480000002</v>
      </c>
      <c r="D105" s="2">
        <f>C105/D11/12</f>
        <v>0.18645025819435268</v>
      </c>
    </row>
    <row r="106" spans="1:4">
      <c r="A106" s="38"/>
      <c r="B106" s="24" t="s">
        <v>6</v>
      </c>
      <c r="C106" s="33">
        <f>143.9*8.19</f>
        <v>1178.5409999999999</v>
      </c>
      <c r="D106" s="2">
        <f>C106/D11/12</f>
        <v>5.5467121871876107E-2</v>
      </c>
    </row>
    <row r="107" spans="1:4">
      <c r="A107" s="38"/>
      <c r="B107" s="3" t="s">
        <v>7</v>
      </c>
      <c r="C107" s="13">
        <f>400*5</f>
        <v>2000</v>
      </c>
      <c r="D107" s="2">
        <f>C107/D11/12</f>
        <v>9.4128455220269983E-2</v>
      </c>
    </row>
    <row r="108" spans="1:4">
      <c r="A108" s="38"/>
      <c r="B108" s="24" t="s">
        <v>8</v>
      </c>
      <c r="C108" s="2">
        <f>C104+C105+C106+C107</f>
        <v>20258.078048000003</v>
      </c>
      <c r="D108" s="2">
        <f>D104+D105+D106+D107</f>
        <v>0.9534307961949513</v>
      </c>
    </row>
    <row r="109" spans="1:4">
      <c r="A109" s="38"/>
      <c r="B109" s="3" t="s">
        <v>9</v>
      </c>
      <c r="C109" s="2">
        <f>C108*5/100</f>
        <v>1012.9039024000001</v>
      </c>
      <c r="D109" s="2">
        <f>C109/D11/12</f>
        <v>4.7671539809747566E-2</v>
      </c>
    </row>
    <row r="110" spans="1:4">
      <c r="A110" s="38"/>
      <c r="B110" s="24" t="s">
        <v>8</v>
      </c>
      <c r="C110" s="2">
        <f>C108+C109</f>
        <v>21270.981950400004</v>
      </c>
      <c r="D110" s="2">
        <f>D108+D109</f>
        <v>1.0011023360046989</v>
      </c>
    </row>
    <row r="111" spans="1:4">
      <c r="A111" s="38"/>
      <c r="B111" s="24" t="s">
        <v>10</v>
      </c>
      <c r="C111" s="2">
        <f>C110*6/100</f>
        <v>1276.2589170240003</v>
      </c>
      <c r="D111" s="2">
        <f>C111/D11/12</f>
        <v>6.0066140160281944E-2</v>
      </c>
    </row>
    <row r="112" spans="1:4">
      <c r="A112" s="38"/>
      <c r="B112" s="24" t="s">
        <v>8</v>
      </c>
      <c r="C112" s="2">
        <f>C110+C111</f>
        <v>22547.240867424003</v>
      </c>
      <c r="D112" s="2">
        <f>D110+D111</f>
        <v>1.0611684761649809</v>
      </c>
    </row>
    <row r="113" spans="1:6">
      <c r="A113" s="38"/>
      <c r="B113" s="5" t="s">
        <v>11</v>
      </c>
      <c r="C113" s="2">
        <f>C112*4/100</f>
        <v>901.88963469696012</v>
      </c>
      <c r="D113" s="2">
        <f>C113/D11/12</f>
        <v>4.2446739046599236E-2</v>
      </c>
    </row>
    <row r="114" spans="1:6">
      <c r="A114" s="38"/>
      <c r="B114" s="5" t="s">
        <v>8</v>
      </c>
      <c r="C114" s="2">
        <f>C112+C113</f>
        <v>23449.130502120963</v>
      </c>
      <c r="D114" s="2">
        <f>D112+D113</f>
        <v>1.1036152152115801</v>
      </c>
    </row>
    <row r="115" spans="1:6" ht="30.75" customHeight="1">
      <c r="A115" s="38" t="s">
        <v>62</v>
      </c>
      <c r="B115" s="24" t="s">
        <v>63</v>
      </c>
      <c r="C115" s="2">
        <f>C126</f>
        <v>38909.388695927293</v>
      </c>
      <c r="D115" s="2">
        <f>D126</f>
        <v>1.8312403257563359</v>
      </c>
    </row>
    <row r="116" spans="1:6">
      <c r="A116" s="38"/>
      <c r="B116" s="26" t="s">
        <v>4</v>
      </c>
      <c r="C116" s="13">
        <f>803.6*29.52</f>
        <v>23722.272000000001</v>
      </c>
      <c r="D116" s="2">
        <f>C116/D11/12</f>
        <v>1.1164704088375323</v>
      </c>
    </row>
    <row r="117" spans="1:6" ht="28.5">
      <c r="A117" s="38"/>
      <c r="B117" s="27" t="s">
        <v>5</v>
      </c>
      <c r="C117" s="2">
        <f>C116*0.302</f>
        <v>7164.1261439999998</v>
      </c>
      <c r="D117" s="2">
        <f>C117/D11/12</f>
        <v>0.3371740634689348</v>
      </c>
    </row>
    <row r="118" spans="1:6">
      <c r="A118" s="38"/>
      <c r="B118" s="24" t="s">
        <v>6</v>
      </c>
      <c r="C118" s="13">
        <f>803.6*1.91</f>
        <v>1534.876</v>
      </c>
      <c r="D118" s="2">
        <f>C118/D11/12</f>
        <v>7.2237753417333558E-2</v>
      </c>
    </row>
    <row r="119" spans="1:6">
      <c r="A119" s="38"/>
      <c r="B119" s="3" t="s">
        <v>12</v>
      </c>
      <c r="C119" s="13">
        <f>(64000+12000)/51186.1*803.6</f>
        <v>1193.1676763808925</v>
      </c>
      <c r="D119" s="2">
        <f>C119/D11/12</f>
        <v>5.6155515098246227E-2</v>
      </c>
    </row>
    <row r="120" spans="1:6">
      <c r="A120" s="38"/>
      <c r="B120" s="24" t="s">
        <v>8</v>
      </c>
      <c r="C120" s="2">
        <f>C116+C117+C118+C119</f>
        <v>33614.441820380889</v>
      </c>
      <c r="D120" s="2">
        <f>D116+D117+D118+D119</f>
        <v>1.582037740822047</v>
      </c>
    </row>
    <row r="121" spans="1:6">
      <c r="A121" s="38"/>
      <c r="B121" s="3" t="s">
        <v>9</v>
      </c>
      <c r="C121" s="2">
        <f>C120*5/100</f>
        <v>1680.7220910190445</v>
      </c>
      <c r="D121" s="2">
        <f>C121/D11/12</f>
        <v>7.9101887041102339E-2</v>
      </c>
    </row>
    <row r="122" spans="1:6">
      <c r="A122" s="38"/>
      <c r="B122" s="24" t="s">
        <v>8</v>
      </c>
      <c r="C122" s="2">
        <f>C120+C121</f>
        <v>35295.163911399934</v>
      </c>
      <c r="D122" s="2">
        <f>D120+D121</f>
        <v>1.6611396278631494</v>
      </c>
    </row>
    <row r="123" spans="1:6">
      <c r="A123" s="38"/>
      <c r="B123" s="24" t="s">
        <v>10</v>
      </c>
      <c r="C123" s="2">
        <f>C122*6/100</f>
        <v>2117.7098346839962</v>
      </c>
      <c r="D123" s="2">
        <f>C123/D11/12</f>
        <v>9.9668377671788946E-2</v>
      </c>
    </row>
    <row r="124" spans="1:6">
      <c r="A124" s="38"/>
      <c r="B124" s="24" t="s">
        <v>8</v>
      </c>
      <c r="C124" s="2">
        <f>C122+C123</f>
        <v>37412.873746083933</v>
      </c>
      <c r="D124" s="2">
        <f>D122+D123</f>
        <v>1.7608080055349384</v>
      </c>
    </row>
    <row r="125" spans="1:6">
      <c r="A125" s="38"/>
      <c r="B125" s="5" t="s">
        <v>11</v>
      </c>
      <c r="C125" s="2">
        <f>C124*4/100</f>
        <v>1496.5149498433573</v>
      </c>
      <c r="D125" s="2">
        <f>C125/D11/12</f>
        <v>7.0432320221397518E-2</v>
      </c>
    </row>
    <row r="126" spans="1:6">
      <c r="A126" s="38"/>
      <c r="B126" s="5" t="s">
        <v>8</v>
      </c>
      <c r="C126" s="2">
        <f>C124+C125</f>
        <v>38909.388695927293</v>
      </c>
      <c r="D126" s="2">
        <f>D124+D125</f>
        <v>1.8312403257563359</v>
      </c>
    </row>
    <row r="127" spans="1:6" ht="44.25" customHeight="1">
      <c r="A127" s="42" t="s">
        <v>64</v>
      </c>
      <c r="B127" s="5" t="s">
        <v>65</v>
      </c>
      <c r="C127" s="4">
        <f>C131+C139+C135</f>
        <v>612.59775999999999</v>
      </c>
      <c r="D127" s="4">
        <f>D131+D139+D135</f>
        <v>2.8831440410098854E-2</v>
      </c>
      <c r="F127" s="17"/>
    </row>
    <row r="128" spans="1:6">
      <c r="A128" s="38" t="s">
        <v>35</v>
      </c>
      <c r="B128" s="5" t="s">
        <v>109</v>
      </c>
      <c r="C128" s="46"/>
      <c r="D128" s="4"/>
    </row>
    <row r="129" spans="1:5">
      <c r="A129" s="38"/>
      <c r="B129" s="24" t="s">
        <v>10</v>
      </c>
      <c r="C129" s="2">
        <f>1261.25*6/100</f>
        <v>75.674999999999997</v>
      </c>
      <c r="D129" s="2">
        <f>C129/12/D11</f>
        <v>3.5615854243969654E-3</v>
      </c>
    </row>
    <row r="130" spans="1:5">
      <c r="A130" s="38"/>
      <c r="B130" s="5" t="s">
        <v>11</v>
      </c>
      <c r="C130" s="2">
        <f>(1261.25+C129)*4/100</f>
        <v>53.476999999999997</v>
      </c>
      <c r="D130" s="2">
        <f>C130/12/D11</f>
        <v>2.5168536999071894E-3</v>
      </c>
    </row>
    <row r="131" spans="1:5">
      <c r="A131" s="38"/>
      <c r="B131" s="5" t="s">
        <v>8</v>
      </c>
      <c r="C131" s="2">
        <f>C129+C130</f>
        <v>129.15199999999999</v>
      </c>
      <c r="D131" s="2">
        <f>D129+D130</f>
        <v>6.0784391243041552E-3</v>
      </c>
    </row>
    <row r="132" spans="1:5">
      <c r="A132" s="55" t="s">
        <v>36</v>
      </c>
      <c r="B132" s="5" t="s">
        <v>110</v>
      </c>
      <c r="C132" s="46"/>
      <c r="D132" s="4"/>
    </row>
    <row r="133" spans="1:5">
      <c r="A133" s="55"/>
      <c r="B133" s="24" t="s">
        <v>10</v>
      </c>
      <c r="C133" s="2">
        <f>1116.89*6/100</f>
        <v>67.013400000000004</v>
      </c>
      <c r="D133" s="2">
        <f>C133/12/D11</f>
        <v>3.1539339105290209E-3</v>
      </c>
    </row>
    <row r="134" spans="1:5">
      <c r="A134" s="55"/>
      <c r="B134" s="5" t="s">
        <v>11</v>
      </c>
      <c r="C134" s="2">
        <f>(1116.89+C133)*4/100</f>
        <v>47.356136000000006</v>
      </c>
      <c r="D134" s="2">
        <f>C134/12/D11</f>
        <v>2.2287799634405081E-3</v>
      </c>
    </row>
    <row r="135" spans="1:5">
      <c r="A135" s="55"/>
      <c r="B135" s="5" t="s">
        <v>8</v>
      </c>
      <c r="C135" s="2">
        <f>C133+C134</f>
        <v>114.36953600000001</v>
      </c>
      <c r="D135" s="2">
        <f>D133+D134</f>
        <v>5.3827138739695295E-3</v>
      </c>
    </row>
    <row r="136" spans="1:5">
      <c r="A136" s="38" t="s">
        <v>42</v>
      </c>
      <c r="B136" s="5" t="s">
        <v>111</v>
      </c>
      <c r="C136" s="46"/>
      <c r="D136" s="4"/>
    </row>
    <row r="137" spans="1:5">
      <c r="A137" s="38"/>
      <c r="B137" s="24" t="s">
        <v>10</v>
      </c>
      <c r="C137" s="2">
        <f>3604.26*6/100</f>
        <v>216.25560000000002</v>
      </c>
      <c r="D137" s="2">
        <f>C137/12/D11</f>
        <v>1.0177902780366311E-2</v>
      </c>
    </row>
    <row r="138" spans="1:5">
      <c r="A138" s="38"/>
      <c r="B138" s="5" t="s">
        <v>11</v>
      </c>
      <c r="C138" s="2">
        <f>(3604.26+C137)*4/100</f>
        <v>152.82062400000001</v>
      </c>
      <c r="D138" s="2">
        <f>C138/12/D11</f>
        <v>7.1923846314588596E-3</v>
      </c>
    </row>
    <row r="139" spans="1:5">
      <c r="A139" s="38"/>
      <c r="B139" s="5" t="s">
        <v>8</v>
      </c>
      <c r="C139" s="2">
        <f>C137+C138</f>
        <v>369.07622400000002</v>
      </c>
      <c r="D139" s="2">
        <f>D137+D138</f>
        <v>1.7370287411825169E-2</v>
      </c>
    </row>
    <row r="140" spans="1:5">
      <c r="A140" s="38"/>
      <c r="B140" s="6" t="s">
        <v>30</v>
      </c>
      <c r="C140" s="2">
        <f>C12+C47+C127</f>
        <v>336140.93207833398</v>
      </c>
      <c r="D140" s="2">
        <f>D12+D47+D127</f>
        <v>15.820213336417638</v>
      </c>
      <c r="E140" s="17"/>
    </row>
    <row r="141" spans="1:5" ht="28.5">
      <c r="A141" s="42" t="s">
        <v>66</v>
      </c>
      <c r="B141" s="24" t="s">
        <v>67</v>
      </c>
      <c r="C141" s="2">
        <v>0</v>
      </c>
      <c r="D141" s="29">
        <v>0</v>
      </c>
    </row>
    <row r="142" spans="1:5">
      <c r="A142" s="38"/>
      <c r="B142" s="41" t="s">
        <v>71</v>
      </c>
      <c r="C142" s="2">
        <f>C140</f>
        <v>336140.93207833398</v>
      </c>
      <c r="D142" s="2">
        <f>D140</f>
        <v>15.820213336417638</v>
      </c>
    </row>
    <row r="143" spans="1:5">
      <c r="B143" s="8"/>
      <c r="C143" s="15"/>
      <c r="D143" s="8"/>
    </row>
    <row r="144" spans="1:5">
      <c r="B144" s="9" t="s">
        <v>75</v>
      </c>
      <c r="C144" s="16"/>
      <c r="D144" s="10"/>
    </row>
    <row r="145" spans="2:4" ht="15.75">
      <c r="B145" s="30" t="s">
        <v>47</v>
      </c>
      <c r="C145" s="31"/>
      <c r="D145" s="30"/>
    </row>
    <row r="146" spans="2:4" ht="15.75">
      <c r="B146" s="30"/>
      <c r="C146" s="31"/>
      <c r="D146" s="30"/>
    </row>
    <row r="147" spans="2:4">
      <c r="B147" s="72" t="s">
        <v>31</v>
      </c>
      <c r="C147" s="72"/>
      <c r="D147" s="72"/>
    </row>
    <row r="148" spans="2:4" ht="15.75">
      <c r="B148" s="30"/>
      <c r="C148" s="31"/>
      <c r="D148" s="30"/>
    </row>
  </sheetData>
  <mergeCells count="11">
    <mergeCell ref="B7:D7"/>
    <mergeCell ref="C1:D1"/>
    <mergeCell ref="C2:D2"/>
    <mergeCell ref="C3:D3"/>
    <mergeCell ref="C4:D4"/>
    <mergeCell ref="B6:D6"/>
    <mergeCell ref="A9:A10"/>
    <mergeCell ref="B9:B10"/>
    <mergeCell ref="C9:C10"/>
    <mergeCell ref="D9:D10"/>
    <mergeCell ref="B147:D14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7"/>
  <sheetViews>
    <sheetView workbookViewId="0">
      <selection activeCell="D147" sqref="D147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50</v>
      </c>
      <c r="C7" s="66"/>
      <c r="D7" s="66"/>
    </row>
    <row r="8" spans="1:6" ht="8.25" customHeight="1">
      <c r="B8" s="39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38"/>
      <c r="B11" s="22" t="s">
        <v>53</v>
      </c>
      <c r="C11" s="2"/>
      <c r="D11" s="2">
        <v>2110.42</v>
      </c>
    </row>
    <row r="12" spans="1:6">
      <c r="A12" s="42" t="s">
        <v>51</v>
      </c>
      <c r="B12" s="24" t="s">
        <v>52</v>
      </c>
      <c r="C12" s="2">
        <f>C13+C24+C43</f>
        <v>214350.57499593269</v>
      </c>
      <c r="D12" s="2">
        <f>D13+D24+D43</f>
        <v>8.4639777467649697</v>
      </c>
    </row>
    <row r="13" spans="1:6">
      <c r="A13" s="38" t="s">
        <v>35</v>
      </c>
      <c r="B13" s="24" t="s">
        <v>70</v>
      </c>
      <c r="C13" s="2">
        <f>C23</f>
        <v>138457.65049706254</v>
      </c>
      <c r="D13" s="2">
        <f>D23</f>
        <v>5.4672233685341682</v>
      </c>
      <c r="F13" s="17"/>
    </row>
    <row r="14" spans="1:6">
      <c r="A14" s="38"/>
      <c r="B14" s="24" t="s">
        <v>13</v>
      </c>
      <c r="C14" s="2">
        <f>(2363756.52+40177.8)/56146.82*D11</f>
        <v>90357.941333354232</v>
      </c>
      <c r="D14" s="2">
        <f>C14/D11/12</f>
        <v>3.5679288693464741</v>
      </c>
    </row>
    <row r="15" spans="1:6" ht="28.5">
      <c r="A15" s="38"/>
      <c r="B15" s="27" t="s">
        <v>5</v>
      </c>
      <c r="C15" s="2">
        <f>C14*0.303</f>
        <v>27378.456224006331</v>
      </c>
      <c r="D15" s="2">
        <f>D14*0.303</f>
        <v>1.0810824474119816</v>
      </c>
    </row>
    <row r="16" spans="1:6">
      <c r="A16" s="38"/>
      <c r="B16" s="24" t="s">
        <v>6</v>
      </c>
      <c r="C16" s="14">
        <f>50000/56146.82*D11</f>
        <v>1879.3762496255354</v>
      </c>
      <c r="D16" s="2">
        <f>C16/D11/12</f>
        <v>7.421019866604496E-2</v>
      </c>
    </row>
    <row r="17" spans="1:4">
      <c r="A17" s="38"/>
      <c r="B17" s="24" t="s">
        <v>8</v>
      </c>
      <c r="C17" s="2">
        <f>C14+C15+C16</f>
        <v>119615.77380698609</v>
      </c>
      <c r="D17" s="2">
        <f>D14+D15+D16</f>
        <v>4.723221515424501</v>
      </c>
    </row>
    <row r="18" spans="1:4">
      <c r="A18" s="38"/>
      <c r="B18" s="3" t="s">
        <v>9</v>
      </c>
      <c r="C18" s="2">
        <f>C17*5/100</f>
        <v>5980.7886903493045</v>
      </c>
      <c r="D18" s="2">
        <f>D17*5/100</f>
        <v>0.23616107577122505</v>
      </c>
    </row>
    <row r="19" spans="1:4">
      <c r="A19" s="38"/>
      <c r="B19" s="24" t="s">
        <v>8</v>
      </c>
      <c r="C19" s="2">
        <f>C17+C18</f>
        <v>125596.5624973354</v>
      </c>
      <c r="D19" s="2">
        <f>D17+D18</f>
        <v>4.9593825911957259</v>
      </c>
    </row>
    <row r="20" spans="1:4">
      <c r="A20" s="38"/>
      <c r="B20" s="24" t="s">
        <v>10</v>
      </c>
      <c r="C20" s="2">
        <f>C19*6/100</f>
        <v>7535.7937498401243</v>
      </c>
      <c r="D20" s="2">
        <f>D19*6/100</f>
        <v>0.29756295547174355</v>
      </c>
    </row>
    <row r="21" spans="1:4">
      <c r="A21" s="38"/>
      <c r="B21" s="24" t="s">
        <v>8</v>
      </c>
      <c r="C21" s="2">
        <f>C19+C20</f>
        <v>133132.35624717551</v>
      </c>
      <c r="D21" s="2">
        <f>D19+D20</f>
        <v>5.2569455466674695</v>
      </c>
    </row>
    <row r="22" spans="1:4">
      <c r="A22" s="38"/>
      <c r="B22" s="5" t="s">
        <v>11</v>
      </c>
      <c r="C22" s="2">
        <f>C21*4/100</f>
        <v>5325.2942498870207</v>
      </c>
      <c r="D22" s="2">
        <f>D21*4/100</f>
        <v>0.21027782186669877</v>
      </c>
    </row>
    <row r="23" spans="1:4">
      <c r="A23" s="38"/>
      <c r="B23" s="5" t="s">
        <v>8</v>
      </c>
      <c r="C23" s="2">
        <f>C21+C22</f>
        <v>138457.65049706254</v>
      </c>
      <c r="D23" s="2">
        <f>D21+D22</f>
        <v>5.4672233685341682</v>
      </c>
    </row>
    <row r="24" spans="1:4">
      <c r="A24" s="38" t="s">
        <v>36</v>
      </c>
      <c r="B24" s="24" t="s">
        <v>69</v>
      </c>
      <c r="C24" s="2">
        <f>C42</f>
        <v>51790.374498870166</v>
      </c>
      <c r="D24" s="2">
        <f>D42</f>
        <v>2.0450263651654716</v>
      </c>
    </row>
    <row r="25" spans="1:4">
      <c r="A25" s="38"/>
      <c r="B25" s="3" t="s">
        <v>17</v>
      </c>
      <c r="C25" s="2">
        <f>16000/56146.82*D11</f>
        <v>601.40039988017134</v>
      </c>
      <c r="D25" s="2">
        <f>C25/D11/12</f>
        <v>2.3747263573134388E-2</v>
      </c>
    </row>
    <row r="26" spans="1:4">
      <c r="A26" s="38"/>
      <c r="B26" s="3" t="s">
        <v>18</v>
      </c>
      <c r="C26" s="2">
        <f>((23200+5300)*12)/56146.82*D11</f>
        <v>12854.933547438663</v>
      </c>
      <c r="D26" s="2">
        <f>C26/D11/12</f>
        <v>0.50759775887574754</v>
      </c>
    </row>
    <row r="27" spans="1:4">
      <c r="A27" s="38"/>
      <c r="B27" s="3" t="s">
        <v>19</v>
      </c>
      <c r="C27" s="2">
        <f>26500*12/56146.82*D11</f>
        <v>11952.832947618404</v>
      </c>
      <c r="D27" s="2">
        <f>C27/D11/12</f>
        <v>0.47197686351604595</v>
      </c>
    </row>
    <row r="28" spans="1:4">
      <c r="A28" s="38"/>
      <c r="B28" s="3" t="s">
        <v>20</v>
      </c>
      <c r="C28" s="2">
        <f>45000/56146.82*D11</f>
        <v>1691.4386246629817</v>
      </c>
      <c r="D28" s="2">
        <f>C28/D11/12</f>
        <v>6.6789178799440463E-2</v>
      </c>
    </row>
    <row r="29" spans="1:4">
      <c r="A29" s="38"/>
      <c r="B29" s="3" t="s">
        <v>21</v>
      </c>
      <c r="C29" s="2">
        <f>56221.5/56146.82*D11</f>
        <v>2113.2270363664406</v>
      </c>
      <c r="D29" s="2">
        <f>C29/D11/12</f>
        <v>8.3444173686060941E-2</v>
      </c>
    </row>
    <row r="30" spans="1:4">
      <c r="A30" s="38"/>
      <c r="B30" s="3" t="s">
        <v>22</v>
      </c>
      <c r="C30" s="2">
        <f>80170.37/56146.82*D11</f>
        <v>3013.4057860338307</v>
      </c>
      <c r="D30" s="2">
        <f>C30/D11/12</f>
        <v>0.11898918169660662</v>
      </c>
    </row>
    <row r="31" spans="1:4">
      <c r="A31" s="38"/>
      <c r="B31" s="3" t="s">
        <v>23</v>
      </c>
      <c r="C31" s="2">
        <f>93800/56146.82*D11</f>
        <v>3525.7098442975043</v>
      </c>
      <c r="D31" s="2">
        <f>C31/D11/12</f>
        <v>0.13921833269750036</v>
      </c>
    </row>
    <row r="32" spans="1:4">
      <c r="A32" s="38"/>
      <c r="B32" s="3" t="s">
        <v>24</v>
      </c>
      <c r="C32" s="2">
        <f>7000/56146.82*D11</f>
        <v>263.11267494757499</v>
      </c>
      <c r="D32" s="2">
        <f>C32/D11/12</f>
        <v>1.0389427813246296E-2</v>
      </c>
    </row>
    <row r="33" spans="1:5">
      <c r="A33" s="38"/>
      <c r="B33" s="3" t="s">
        <v>25</v>
      </c>
      <c r="C33" s="2">
        <f>113064/56146.82*D11</f>
        <v>4249.7959257532302</v>
      </c>
      <c r="D33" s="2">
        <f>C33/D11/12</f>
        <v>0.16781003803955416</v>
      </c>
    </row>
    <row r="34" spans="1:5">
      <c r="A34" s="38"/>
      <c r="B34" s="3" t="s">
        <v>26</v>
      </c>
      <c r="C34" s="2">
        <f>84600/56146.82*D11</f>
        <v>3179.9046143664059</v>
      </c>
      <c r="D34" s="2">
        <f>C34/D11/12</f>
        <v>0.12556365614294809</v>
      </c>
    </row>
    <row r="35" spans="1:5">
      <c r="A35" s="38"/>
      <c r="B35" s="3" t="s">
        <v>27</v>
      </c>
      <c r="C35" s="2">
        <f>34500/56146.82*D11</f>
        <v>1296.7696122416194</v>
      </c>
      <c r="D35" s="2">
        <f>C35/D11/12</f>
        <v>5.1205037079571025E-2</v>
      </c>
    </row>
    <row r="36" spans="1:5">
      <c r="A36" s="38"/>
      <c r="B36" s="24" t="s">
        <v>8</v>
      </c>
      <c r="C36" s="2">
        <f>SUM(C25:C35)</f>
        <v>44742.531013606822</v>
      </c>
      <c r="D36" s="2">
        <f>SUM(D25:D35)</f>
        <v>1.766730911919856</v>
      </c>
    </row>
    <row r="37" spans="1:5">
      <c r="A37" s="38"/>
      <c r="B37" s="3" t="s">
        <v>9</v>
      </c>
      <c r="C37" s="2">
        <f>C36*5/100</f>
        <v>2237.1265506803411</v>
      </c>
      <c r="D37" s="2">
        <f>D36*5/100</f>
        <v>8.8336545595992799E-2</v>
      </c>
    </row>
    <row r="38" spans="1:5">
      <c r="A38" s="38"/>
      <c r="B38" s="24" t="s">
        <v>8</v>
      </c>
      <c r="C38" s="2">
        <f>C36+C37</f>
        <v>46979.657564287161</v>
      </c>
      <c r="D38" s="2">
        <f>D36+D37</f>
        <v>1.8550674575158488</v>
      </c>
    </row>
    <row r="39" spans="1:5">
      <c r="A39" s="38"/>
      <c r="B39" s="24" t="s">
        <v>10</v>
      </c>
      <c r="C39" s="2">
        <f>C38*6/100</f>
        <v>2818.7794538572298</v>
      </c>
      <c r="D39" s="2">
        <f>D38*6/100</f>
        <v>0.11130404745095092</v>
      </c>
    </row>
    <row r="40" spans="1:5">
      <c r="A40" s="38"/>
      <c r="B40" s="24" t="s">
        <v>8</v>
      </c>
      <c r="C40" s="2">
        <f>C38+C39</f>
        <v>49798.437018144388</v>
      </c>
      <c r="D40" s="2">
        <f>D38+D39</f>
        <v>1.9663715049667998</v>
      </c>
    </row>
    <row r="41" spans="1:5">
      <c r="A41" s="38"/>
      <c r="B41" s="5" t="s">
        <v>11</v>
      </c>
      <c r="C41" s="2">
        <f>C40*4/100</f>
        <v>1991.9374807257755</v>
      </c>
      <c r="D41" s="2">
        <f>D40*4/100</f>
        <v>7.8654860198671989E-2</v>
      </c>
    </row>
    <row r="42" spans="1:5">
      <c r="A42" s="38"/>
      <c r="B42" s="5" t="s">
        <v>8</v>
      </c>
      <c r="C42" s="2">
        <f>SUM(C40:C41)</f>
        <v>51790.374498870166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24102.55</v>
      </c>
      <c r="D43" s="2">
        <f>D46</f>
        <v>0.95172801306532984</v>
      </c>
    </row>
    <row r="44" spans="1:5">
      <c r="A44" s="38"/>
      <c r="B44" s="5" t="s">
        <v>28</v>
      </c>
      <c r="C44" s="46">
        <v>22554.55</v>
      </c>
      <c r="D44" s="4">
        <f>C44/12/D11</f>
        <v>0.89060273942311641</v>
      </c>
    </row>
    <row r="45" spans="1:5" ht="19.5" customHeight="1">
      <c r="A45" s="38"/>
      <c r="B45" s="5" t="s">
        <v>29</v>
      </c>
      <c r="C45" s="46">
        <v>1548</v>
      </c>
      <c r="D45" s="4">
        <f>C45/12/D11</f>
        <v>6.1125273642213394E-2</v>
      </c>
    </row>
    <row r="46" spans="1:5">
      <c r="A46" s="38"/>
      <c r="B46" s="5" t="s">
        <v>8</v>
      </c>
      <c r="C46" s="4">
        <f>C44+C45</f>
        <v>24102.55</v>
      </c>
      <c r="D46" s="4">
        <f>D44+D45</f>
        <v>0.95172801306532984</v>
      </c>
      <c r="E46" s="40"/>
    </row>
    <row r="47" spans="1:5">
      <c r="A47" s="42" t="s">
        <v>54</v>
      </c>
      <c r="B47" s="5" t="s">
        <v>55</v>
      </c>
      <c r="C47" s="2">
        <f>C48+C59+C109</f>
        <v>258595.11706504406</v>
      </c>
      <c r="D47" s="2">
        <f>D48+D59+D109</f>
        <v>10.211044763011</v>
      </c>
    </row>
    <row r="48" spans="1:5" ht="47.25" customHeight="1">
      <c r="A48" s="38" t="s">
        <v>35</v>
      </c>
      <c r="B48" s="28" t="s">
        <v>46</v>
      </c>
      <c r="C48" s="4">
        <f>C58</f>
        <v>23371.66202687411</v>
      </c>
      <c r="D48" s="4">
        <f>D58</f>
        <v>0.92286772407364825</v>
      </c>
    </row>
    <row r="49" spans="1:7">
      <c r="A49" s="38"/>
      <c r="B49" s="24" t="s">
        <v>13</v>
      </c>
      <c r="C49" s="2">
        <f>(214308.36+159867.48)/56146.82*D11</f>
        <v>14064.343737593686</v>
      </c>
      <c r="D49" s="2">
        <f>C49/D11/12</f>
        <v>0.55535326844868504</v>
      </c>
    </row>
    <row r="50" spans="1:7">
      <c r="A50" s="38"/>
      <c r="B50" s="24" t="s">
        <v>14</v>
      </c>
      <c r="C50" s="2">
        <f>C49*0.302</f>
        <v>4247.4318087532929</v>
      </c>
      <c r="D50" s="2">
        <f>C50/D11/12</f>
        <v>0.16771668707150286</v>
      </c>
    </row>
    <row r="51" spans="1:7">
      <c r="A51" s="38"/>
      <c r="B51" s="24" t="s">
        <v>6</v>
      </c>
      <c r="C51" s="13">
        <f>50000/56146.82*D11</f>
        <v>1879.3762496255354</v>
      </c>
      <c r="D51" s="2">
        <f>C51/D11/12</f>
        <v>7.421019866604496E-2</v>
      </c>
    </row>
    <row r="52" spans="1:7">
      <c r="A52" s="38"/>
      <c r="B52" s="24" t="s">
        <v>8</v>
      </c>
      <c r="C52" s="2">
        <f>C49+C50+C51</f>
        <v>20191.151795972517</v>
      </c>
      <c r="D52" s="2">
        <f>D49+D50+D51</f>
        <v>0.79728015418623288</v>
      </c>
    </row>
    <row r="53" spans="1:7">
      <c r="A53" s="38"/>
      <c r="B53" s="3" t="s">
        <v>9</v>
      </c>
      <c r="C53" s="2">
        <f>C52*5/100</f>
        <v>1009.5575897986258</v>
      </c>
      <c r="D53" s="2">
        <f>D52*5/100</f>
        <v>3.9864007709311644E-2</v>
      </c>
    </row>
    <row r="54" spans="1:7">
      <c r="A54" s="38"/>
      <c r="B54" s="24" t="s">
        <v>8</v>
      </c>
      <c r="C54" s="2">
        <f>C52+C53</f>
        <v>21200.709385771144</v>
      </c>
      <c r="D54" s="2">
        <f>D52+D53</f>
        <v>0.83714416189554453</v>
      </c>
    </row>
    <row r="55" spans="1:7">
      <c r="A55" s="38"/>
      <c r="B55" s="24" t="s">
        <v>10</v>
      </c>
      <c r="C55" s="2">
        <f>C54*6/100</f>
        <v>1272.0425631462685</v>
      </c>
      <c r="D55" s="2">
        <f>D54*6/100</f>
        <v>5.022864971373267E-2</v>
      </c>
    </row>
    <row r="56" spans="1:7">
      <c r="A56" s="38"/>
      <c r="B56" s="24" t="s">
        <v>8</v>
      </c>
      <c r="C56" s="2">
        <f>C54+C55</f>
        <v>22472.751948917412</v>
      </c>
      <c r="D56" s="2">
        <f>D54+D55</f>
        <v>0.88737281160927717</v>
      </c>
    </row>
    <row r="57" spans="1:7">
      <c r="A57" s="38"/>
      <c r="B57" s="5" t="s">
        <v>11</v>
      </c>
      <c r="C57" s="2">
        <f>C56*4/100</f>
        <v>898.91007795669645</v>
      </c>
      <c r="D57" s="2">
        <f>D56*4/100</f>
        <v>3.5494912464371087E-2</v>
      </c>
    </row>
    <row r="58" spans="1:7">
      <c r="A58" s="38"/>
      <c r="B58" s="5" t="s">
        <v>8</v>
      </c>
      <c r="C58" s="2">
        <f>C56+C57</f>
        <v>23371.66202687411</v>
      </c>
      <c r="D58" s="2">
        <f>D56+D57</f>
        <v>0.92286772407364825</v>
      </c>
    </row>
    <row r="59" spans="1:7" ht="63">
      <c r="A59" s="38" t="s">
        <v>36</v>
      </c>
      <c r="B59" s="28" t="s">
        <v>37</v>
      </c>
      <c r="C59" s="23">
        <f>C60+C71+C82+C93+C101</f>
        <v>162943.6578418992</v>
      </c>
      <c r="D59" s="23">
        <f>D60+D71+D82+D93+D101</f>
        <v>6.4340928125641348</v>
      </c>
      <c r="G59" s="17"/>
    </row>
    <row r="60" spans="1:7">
      <c r="A60" s="38" t="s">
        <v>38</v>
      </c>
      <c r="B60" s="24" t="s">
        <v>40</v>
      </c>
      <c r="C60" s="2">
        <f>C70</f>
        <v>33025.401947211831</v>
      </c>
      <c r="D60" s="2">
        <f>D70</f>
        <v>1.3040611958445805</v>
      </c>
    </row>
    <row r="61" spans="1:7">
      <c r="A61" s="38"/>
      <c r="B61" s="24" t="s">
        <v>13</v>
      </c>
      <c r="C61" s="2">
        <f>(402940.32+0.5*298665.6)/56146.82*D11</f>
        <v>20758.579700691866</v>
      </c>
      <c r="D61" s="2">
        <f>C61/D11/12</f>
        <v>0.81968595906232977</v>
      </c>
    </row>
    <row r="62" spans="1:7">
      <c r="A62" s="38"/>
      <c r="B62" s="24" t="s">
        <v>14</v>
      </c>
      <c r="C62" s="2">
        <f>C61*0.302</f>
        <v>6269.0910696089431</v>
      </c>
      <c r="D62" s="2">
        <f>C62/D11/12</f>
        <v>0.24754515963682358</v>
      </c>
    </row>
    <row r="63" spans="1:7">
      <c r="A63" s="38"/>
      <c r="B63" s="24" t="s">
        <v>6</v>
      </c>
      <c r="C63" s="13">
        <f>40000/56146.82*D11</f>
        <v>1503.5009997004283</v>
      </c>
      <c r="D63" s="2">
        <f>C63/D11/12</f>
        <v>5.9368158932835972E-2</v>
      </c>
    </row>
    <row r="64" spans="1:7">
      <c r="A64" s="38"/>
      <c r="B64" s="24" t="s">
        <v>8</v>
      </c>
      <c r="C64" s="2">
        <f>C61+C62+C63</f>
        <v>28531.171770001234</v>
      </c>
      <c r="D64" s="2">
        <f>D61+D62+D63</f>
        <v>1.1265992776319893</v>
      </c>
    </row>
    <row r="65" spans="1:4">
      <c r="A65" s="38"/>
      <c r="B65" s="3" t="s">
        <v>9</v>
      </c>
      <c r="C65" s="2">
        <f>C64*5/100</f>
        <v>1426.5585885000617</v>
      </c>
      <c r="D65" s="2">
        <f>D64*5/100</f>
        <v>5.6329963881599464E-2</v>
      </c>
    </row>
    <row r="66" spans="1:4">
      <c r="A66" s="38"/>
      <c r="B66" s="24" t="s">
        <v>8</v>
      </c>
      <c r="C66" s="2">
        <f>C64+C65</f>
        <v>29957.730358501296</v>
      </c>
      <c r="D66" s="2">
        <f>D64+D65</f>
        <v>1.1829292415135888</v>
      </c>
    </row>
    <row r="67" spans="1:4">
      <c r="A67" s="38"/>
      <c r="B67" s="24" t="s">
        <v>10</v>
      </c>
      <c r="C67" s="2">
        <f>C66*6/100</f>
        <v>1797.4638215100777</v>
      </c>
      <c r="D67" s="2">
        <f>D66*6/100</f>
        <v>7.0975754490815335E-2</v>
      </c>
    </row>
    <row r="68" spans="1:4">
      <c r="A68" s="38"/>
      <c r="B68" s="24" t="s">
        <v>8</v>
      </c>
      <c r="C68" s="2">
        <f>C66+C67</f>
        <v>31755.194180011375</v>
      </c>
      <c r="D68" s="2">
        <f>D66+D67</f>
        <v>1.2539049960044042</v>
      </c>
    </row>
    <row r="69" spans="1:4">
      <c r="A69" s="38"/>
      <c r="B69" s="5" t="s">
        <v>11</v>
      </c>
      <c r="C69" s="2">
        <f>C68*4/100</f>
        <v>1270.207767200455</v>
      </c>
      <c r="D69" s="2">
        <f>D68*4/100</f>
        <v>5.015619984017617E-2</v>
      </c>
    </row>
    <row r="70" spans="1:4">
      <c r="A70" s="38"/>
      <c r="B70" s="5" t="s">
        <v>8</v>
      </c>
      <c r="C70" s="2">
        <f>C68+C69</f>
        <v>33025.401947211831</v>
      </c>
      <c r="D70" s="2">
        <f>D68+D69</f>
        <v>1.3040611958445805</v>
      </c>
    </row>
    <row r="71" spans="1:4">
      <c r="A71" s="38" t="s">
        <v>39</v>
      </c>
      <c r="B71" s="24" t="s">
        <v>41</v>
      </c>
      <c r="C71" s="2">
        <f>C81</f>
        <v>13946.887720220951</v>
      </c>
      <c r="D71" s="2">
        <f>D81</f>
        <v>0.55071532839517534</v>
      </c>
    </row>
    <row r="72" spans="1:4">
      <c r="A72" s="38"/>
      <c r="B72" s="24" t="s">
        <v>13</v>
      </c>
      <c r="C72" s="2">
        <f>(171109.32+0.2*298665.6)/56146.82*D11</f>
        <v>8676.7959828321527</v>
      </c>
      <c r="D72" s="2">
        <f>C72/D11/12</f>
        <v>0.34261726665909126</v>
      </c>
    </row>
    <row r="73" spans="1:4" ht="28.5">
      <c r="A73" s="38"/>
      <c r="B73" s="27" t="s">
        <v>5</v>
      </c>
      <c r="C73" s="2">
        <f>C72*0.302</f>
        <v>2620.3923868153101</v>
      </c>
      <c r="D73" s="2">
        <f>C73/D11/12</f>
        <v>0.10347041453104555</v>
      </c>
    </row>
    <row r="74" spans="1:4">
      <c r="A74" s="38"/>
      <c r="B74" s="24" t="s">
        <v>6</v>
      </c>
      <c r="C74" s="13">
        <f>20000/56146.82*D11</f>
        <v>751.75049985021417</v>
      </c>
      <c r="D74" s="2">
        <f>C74/D11/12</f>
        <v>2.9684079466417986E-2</v>
      </c>
    </row>
    <row r="75" spans="1:4">
      <c r="A75" s="38"/>
      <c r="B75" s="24" t="s">
        <v>8</v>
      </c>
      <c r="C75" s="2">
        <f>C72+C73+C74</f>
        <v>12048.938869497677</v>
      </c>
      <c r="D75" s="2">
        <f>D72+D73+D74</f>
        <v>0.4757717606565548</v>
      </c>
    </row>
    <row r="76" spans="1:4">
      <c r="A76" s="38"/>
      <c r="B76" s="3" t="s">
        <v>9</v>
      </c>
      <c r="C76" s="2">
        <f>C75*5/100</f>
        <v>602.44694347488394</v>
      </c>
      <c r="D76" s="2">
        <f>D75*5/100</f>
        <v>2.3788588032827736E-2</v>
      </c>
    </row>
    <row r="77" spans="1:4">
      <c r="A77" s="38"/>
      <c r="B77" s="24" t="s">
        <v>8</v>
      </c>
      <c r="C77" s="2">
        <f>C75+C76</f>
        <v>12651.385812972561</v>
      </c>
      <c r="D77" s="2">
        <f>D75+D76</f>
        <v>0.49956034868938254</v>
      </c>
    </row>
    <row r="78" spans="1:4">
      <c r="A78" s="38"/>
      <c r="B78" s="24" t="s">
        <v>10</v>
      </c>
      <c r="C78" s="2">
        <f>C77*6/100</f>
        <v>759.08314877835369</v>
      </c>
      <c r="D78" s="2">
        <f>D77*6/100</f>
        <v>2.9973620921362954E-2</v>
      </c>
    </row>
    <row r="79" spans="1:4">
      <c r="A79" s="38"/>
      <c r="B79" s="24" t="s">
        <v>8</v>
      </c>
      <c r="C79" s="2">
        <f>C77+C78</f>
        <v>13410.468961750916</v>
      </c>
      <c r="D79" s="2">
        <f>D77+D78</f>
        <v>0.5295339696107455</v>
      </c>
    </row>
    <row r="80" spans="1:4">
      <c r="A80" s="38"/>
      <c r="B80" s="5" t="s">
        <v>11</v>
      </c>
      <c r="C80" s="2">
        <f>C79*4/100</f>
        <v>536.41875847003666</v>
      </c>
      <c r="D80" s="2">
        <f>D79*4/100</f>
        <v>2.1181358784429821E-2</v>
      </c>
    </row>
    <row r="81" spans="1:4">
      <c r="A81" s="38"/>
      <c r="B81" s="5" t="s">
        <v>8</v>
      </c>
      <c r="C81" s="2">
        <f>C79+C80</f>
        <v>13946.887720220951</v>
      </c>
      <c r="D81" s="2">
        <f>D79+D80</f>
        <v>0.55071532839517534</v>
      </c>
    </row>
    <row r="82" spans="1:4" ht="30.75" customHeight="1">
      <c r="A82" s="38" t="s">
        <v>56</v>
      </c>
      <c r="B82" s="28" t="s">
        <v>43</v>
      </c>
      <c r="C82" s="2">
        <f>C92</f>
        <v>84552.802814466428</v>
      </c>
      <c r="D82" s="2">
        <f>D92</f>
        <v>3.3387036235467509</v>
      </c>
    </row>
    <row r="83" spans="1:4">
      <c r="A83" s="38"/>
      <c r="B83" s="24" t="s">
        <v>13</v>
      </c>
      <c r="C83" s="2">
        <f>(1395324.48+0.3*298665.6)/56146.82*D11</f>
        <v>55814.62397598297</v>
      </c>
      <c r="D83" s="2">
        <f>C83/D11/12</f>
        <v>2.2039303383521989</v>
      </c>
    </row>
    <row r="84" spans="1:4" ht="28.5">
      <c r="A84" s="38"/>
      <c r="B84" s="27" t="s">
        <v>5</v>
      </c>
      <c r="C84" s="2">
        <f>C83*0.302</f>
        <v>16856.016440746855</v>
      </c>
      <c r="D84" s="2">
        <f>D83*0.302</f>
        <v>0.66558696218236402</v>
      </c>
    </row>
    <row r="85" spans="1:4">
      <c r="A85" s="38"/>
      <c r="B85" s="24" t="s">
        <v>6</v>
      </c>
      <c r="C85" s="13">
        <f>10000/56146.82*D11</f>
        <v>375.87524992510708</v>
      </c>
      <c r="D85" s="2">
        <f>C85/D11/12</f>
        <v>1.4842039733208993E-2</v>
      </c>
    </row>
    <row r="86" spans="1:4">
      <c r="A86" s="38"/>
      <c r="B86" s="24" t="s">
        <v>15</v>
      </c>
      <c r="C86" s="2">
        <f>C83+C84+C85</f>
        <v>73046.51566665493</v>
      </c>
      <c r="D86" s="2">
        <f>D83+D84+D85</f>
        <v>2.8843593402677716</v>
      </c>
    </row>
    <row r="87" spans="1:4">
      <c r="A87" s="38"/>
      <c r="B87" s="3" t="s">
        <v>9</v>
      </c>
      <c r="C87" s="2">
        <f>C86*5/100</f>
        <v>3652.3257833327461</v>
      </c>
      <c r="D87" s="2">
        <f>D86*5/100</f>
        <v>0.14421796701338857</v>
      </c>
    </row>
    <row r="88" spans="1:4">
      <c r="A88" s="38"/>
      <c r="B88" s="24" t="s">
        <v>8</v>
      </c>
      <c r="C88" s="2">
        <f>C86+C87</f>
        <v>76698.841449987682</v>
      </c>
      <c r="D88" s="2">
        <f>D86+D87</f>
        <v>3.0285773072811604</v>
      </c>
    </row>
    <row r="89" spans="1:4">
      <c r="A89" s="38"/>
      <c r="B89" s="24" t="s">
        <v>10</v>
      </c>
      <c r="C89" s="2">
        <f>C88*6/100</f>
        <v>4601.9304869992611</v>
      </c>
      <c r="D89" s="2">
        <f>D88*6/100</f>
        <v>0.18171463843686961</v>
      </c>
    </row>
    <row r="90" spans="1:4">
      <c r="A90" s="38"/>
      <c r="B90" s="24" t="s">
        <v>8</v>
      </c>
      <c r="C90" s="2">
        <f>C88+C89</f>
        <v>81300.771936986945</v>
      </c>
      <c r="D90" s="2">
        <f>D88+D89</f>
        <v>3.2102919457180299</v>
      </c>
    </row>
    <row r="91" spans="1:4">
      <c r="A91" s="38"/>
      <c r="B91" s="5" t="s">
        <v>11</v>
      </c>
      <c r="C91" s="2">
        <f>C90*4/100</f>
        <v>3252.0308774794776</v>
      </c>
      <c r="D91" s="2">
        <f>D90*4/100</f>
        <v>0.1284116778287212</v>
      </c>
    </row>
    <row r="92" spans="1:4">
      <c r="A92" s="38"/>
      <c r="B92" s="5" t="s">
        <v>8</v>
      </c>
      <c r="C92" s="2">
        <f>C90+C91</f>
        <v>84552.802814466428</v>
      </c>
      <c r="D92" s="2">
        <f>D90+D91</f>
        <v>3.3387036235467509</v>
      </c>
    </row>
    <row r="93" spans="1:4" ht="31.5">
      <c r="A93" s="38" t="s">
        <v>57</v>
      </c>
      <c r="B93" s="28" t="s">
        <v>44</v>
      </c>
      <c r="C93" s="23">
        <f>C100</f>
        <v>30002.918399999999</v>
      </c>
      <c r="D93" s="23">
        <f>D100</f>
        <v>1.1847135641246767</v>
      </c>
    </row>
    <row r="94" spans="1:4">
      <c r="A94" s="38"/>
      <c r="B94" s="3" t="s">
        <v>16</v>
      </c>
      <c r="C94" s="13">
        <f>48*180*3</f>
        <v>25920</v>
      </c>
      <c r="D94" s="2">
        <f>C94/D11/12</f>
        <v>1.0234929540091546</v>
      </c>
    </row>
    <row r="95" spans="1:4">
      <c r="A95" s="38"/>
      <c r="B95" s="3" t="s">
        <v>9</v>
      </c>
      <c r="C95" s="2">
        <f>C94*5/100</f>
        <v>1296</v>
      </c>
      <c r="D95" s="2">
        <f>D94*5/100</f>
        <v>5.117464770045773E-2</v>
      </c>
    </row>
    <row r="96" spans="1:4">
      <c r="A96" s="38"/>
      <c r="B96" s="24" t="s">
        <v>8</v>
      </c>
      <c r="C96" s="2">
        <f>C94+C95</f>
        <v>27216</v>
      </c>
      <c r="D96" s="2">
        <f>D94+D95</f>
        <v>1.0746676017096124</v>
      </c>
    </row>
    <row r="97" spans="1:4">
      <c r="A97" s="38"/>
      <c r="B97" s="24" t="s">
        <v>10</v>
      </c>
      <c r="C97" s="2">
        <f>C96*6/100</f>
        <v>1632.96</v>
      </c>
      <c r="D97" s="2">
        <f>D96*6/100</f>
        <v>6.4480056102576733E-2</v>
      </c>
    </row>
    <row r="98" spans="1:4">
      <c r="A98" s="38"/>
      <c r="B98" s="24" t="s">
        <v>8</v>
      </c>
      <c r="C98" s="2">
        <f>C96+C97</f>
        <v>28848.959999999999</v>
      </c>
      <c r="D98" s="2">
        <f>D96+D97</f>
        <v>1.1391476578121891</v>
      </c>
    </row>
    <row r="99" spans="1:4">
      <c r="A99" s="38"/>
      <c r="B99" s="5" t="s">
        <v>11</v>
      </c>
      <c r="C99" s="2">
        <f>C98*4/100</f>
        <v>1153.9584</v>
      </c>
      <c r="D99" s="2">
        <f>D98*4/100</f>
        <v>4.556590631248756E-2</v>
      </c>
    </row>
    <row r="100" spans="1:4">
      <c r="A100" s="38"/>
      <c r="B100" s="5" t="s">
        <v>8</v>
      </c>
      <c r="C100" s="2">
        <f>C98+C99</f>
        <v>30002.918399999999</v>
      </c>
      <c r="D100" s="2">
        <f>D98+D99</f>
        <v>1.1847135641246767</v>
      </c>
    </row>
    <row r="101" spans="1:4" ht="31.5">
      <c r="A101" s="38" t="s">
        <v>58</v>
      </c>
      <c r="B101" s="28" t="s">
        <v>88</v>
      </c>
      <c r="C101" s="13">
        <f>C108</f>
        <v>1415.64696</v>
      </c>
      <c r="D101" s="13">
        <f>D108</f>
        <v>5.5899100652950603E-2</v>
      </c>
    </row>
    <row r="102" spans="1:4">
      <c r="A102" s="47"/>
      <c r="B102" s="48" t="s">
        <v>89</v>
      </c>
      <c r="C102" s="2">
        <v>1223</v>
      </c>
      <c r="D102" s="49">
        <f>C102/12/D11</f>
        <v>4.8292125106218983E-2</v>
      </c>
    </row>
    <row r="103" spans="1:4">
      <c r="A103" s="47"/>
      <c r="B103" s="50" t="s">
        <v>9</v>
      </c>
      <c r="C103" s="51">
        <f>C102*5/100</f>
        <v>61.15</v>
      </c>
      <c r="D103" s="51">
        <f>D102*5/100</f>
        <v>2.4146062553109492E-3</v>
      </c>
    </row>
    <row r="104" spans="1:4">
      <c r="A104" s="47"/>
      <c r="B104" s="52" t="s">
        <v>8</v>
      </c>
      <c r="C104" s="51">
        <f>C102+C103</f>
        <v>1284.1500000000001</v>
      </c>
      <c r="D104" s="49">
        <f>D102+D103</f>
        <v>5.0706731361529936E-2</v>
      </c>
    </row>
    <row r="105" spans="1:4">
      <c r="A105" s="47"/>
      <c r="B105" s="53" t="s">
        <v>10</v>
      </c>
      <c r="C105" s="51">
        <f>C104*6/100</f>
        <v>77.049000000000007</v>
      </c>
      <c r="D105" s="51">
        <f>D104*6/100</f>
        <v>3.0424038816917963E-3</v>
      </c>
    </row>
    <row r="106" spans="1:4">
      <c r="A106" s="47"/>
      <c r="B106" s="52" t="s">
        <v>8</v>
      </c>
      <c r="C106" s="51">
        <f>C104+C105</f>
        <v>1361.1990000000001</v>
      </c>
      <c r="D106" s="49">
        <f>D104+D105</f>
        <v>5.3749135243221731E-2</v>
      </c>
    </row>
    <row r="107" spans="1:4">
      <c r="A107" s="47"/>
      <c r="B107" s="54" t="s">
        <v>11</v>
      </c>
      <c r="C107" s="51">
        <f>C106*4/100</f>
        <v>54.447960000000002</v>
      </c>
      <c r="D107" s="51">
        <f>D106*4/100</f>
        <v>2.1499654097288691E-3</v>
      </c>
    </row>
    <row r="108" spans="1:4">
      <c r="A108" s="47"/>
      <c r="B108" s="5" t="s">
        <v>8</v>
      </c>
      <c r="C108" s="2">
        <f>C106+C107</f>
        <v>1415.64696</v>
      </c>
      <c r="D108" s="2">
        <f>D106+D107</f>
        <v>5.5899100652950603E-2</v>
      </c>
    </row>
    <row r="109" spans="1:4" ht="29.25">
      <c r="A109" s="37" t="s">
        <v>42</v>
      </c>
      <c r="B109" s="22" t="s">
        <v>59</v>
      </c>
      <c r="C109" s="23">
        <f>C121+C133</f>
        <v>72279.797196270752</v>
      </c>
      <c r="D109" s="23">
        <f>D121+D133</f>
        <v>2.8540842263732165</v>
      </c>
    </row>
    <row r="110" spans="1:4" ht="28.5">
      <c r="A110" s="38" t="s">
        <v>61</v>
      </c>
      <c r="B110" s="24" t="s">
        <v>60</v>
      </c>
      <c r="C110" s="25">
        <f>C121</f>
        <v>25671.811184947197</v>
      </c>
      <c r="D110" s="2">
        <f>D121</f>
        <v>1.0136928188444008</v>
      </c>
    </row>
    <row r="111" spans="1:4">
      <c r="A111" s="38"/>
      <c r="B111" s="26" t="s">
        <v>4</v>
      </c>
      <c r="C111" s="33">
        <f>148*91.16</f>
        <v>13491.68</v>
      </c>
      <c r="D111" s="2">
        <f>C111/D11/12</f>
        <v>0.53274071827724656</v>
      </c>
    </row>
    <row r="112" spans="1:4" ht="28.5">
      <c r="A112" s="38"/>
      <c r="B112" s="27" t="s">
        <v>5</v>
      </c>
      <c r="C112" s="2">
        <f>C111*0.302</f>
        <v>4074.4873600000001</v>
      </c>
      <c r="D112" s="2">
        <f>C112/D11/12</f>
        <v>0.16088769691972846</v>
      </c>
    </row>
    <row r="113" spans="1:4">
      <c r="A113" s="38"/>
      <c r="B113" s="24" t="s">
        <v>6</v>
      </c>
      <c r="C113" s="33">
        <f>148*8.19</f>
        <v>1212.1199999999999</v>
      </c>
      <c r="D113" s="2">
        <f>C113/D11/12</f>
        <v>4.7862510779844762E-2</v>
      </c>
    </row>
    <row r="114" spans="1:4">
      <c r="A114" s="38"/>
      <c r="B114" s="3" t="s">
        <v>7</v>
      </c>
      <c r="C114" s="13">
        <f>680*5</f>
        <v>3400</v>
      </c>
      <c r="D114" s="2">
        <f>C114/D11/12</f>
        <v>0.13425447699194157</v>
      </c>
    </row>
    <row r="115" spans="1:4">
      <c r="A115" s="38"/>
      <c r="B115" s="24" t="s">
        <v>8</v>
      </c>
      <c r="C115" s="2">
        <f>C111+C112+C113+C114</f>
        <v>22178.287359999998</v>
      </c>
      <c r="D115" s="2">
        <f>D111+D112+D113+D114</f>
        <v>0.87574540296876136</v>
      </c>
    </row>
    <row r="116" spans="1:4">
      <c r="A116" s="38"/>
      <c r="B116" s="3" t="s">
        <v>9</v>
      </c>
      <c r="C116" s="2">
        <f>C115*5/100</f>
        <v>1108.914368</v>
      </c>
      <c r="D116" s="2">
        <f>C116/D11/12</f>
        <v>4.3787270148438064E-2</v>
      </c>
    </row>
    <row r="117" spans="1:4">
      <c r="A117" s="38"/>
      <c r="B117" s="24" t="s">
        <v>8</v>
      </c>
      <c r="C117" s="2">
        <f>C115+C116</f>
        <v>23287.201728</v>
      </c>
      <c r="D117" s="2">
        <f>D115+D116</f>
        <v>0.91953267311719944</v>
      </c>
    </row>
    <row r="118" spans="1:4">
      <c r="A118" s="38"/>
      <c r="B118" s="24" t="s">
        <v>10</v>
      </c>
      <c r="C118" s="2">
        <f>C117*6/100</f>
        <v>1397.2321036799999</v>
      </c>
      <c r="D118" s="2">
        <f>C118/D11/12</f>
        <v>5.5171960387031961E-2</v>
      </c>
    </row>
    <row r="119" spans="1:4">
      <c r="A119" s="38"/>
      <c r="B119" s="24" t="s">
        <v>8</v>
      </c>
      <c r="C119" s="2">
        <f>C117+C118</f>
        <v>24684.433831679999</v>
      </c>
      <c r="D119" s="2">
        <f>D117+D118</f>
        <v>0.97470463350423142</v>
      </c>
    </row>
    <row r="120" spans="1:4">
      <c r="A120" s="38"/>
      <c r="B120" s="5" t="s">
        <v>11</v>
      </c>
      <c r="C120" s="2">
        <f>C119*4/100</f>
        <v>987.37735326719996</v>
      </c>
      <c r="D120" s="2">
        <f>C120/D11/12</f>
        <v>3.8988185340169255E-2</v>
      </c>
    </row>
    <row r="121" spans="1:4">
      <c r="A121" s="38"/>
      <c r="B121" s="5" t="s">
        <v>8</v>
      </c>
      <c r="C121" s="2">
        <f>C119+C120</f>
        <v>25671.811184947197</v>
      </c>
      <c r="D121" s="2">
        <f>D119+D120</f>
        <v>1.0136928188444008</v>
      </c>
    </row>
    <row r="122" spans="1:4" ht="30.75" customHeight="1">
      <c r="A122" s="38" t="s">
        <v>62</v>
      </c>
      <c r="B122" s="24" t="s">
        <v>63</v>
      </c>
      <c r="C122" s="2">
        <f>C133</f>
        <v>46607.986011323563</v>
      </c>
      <c r="D122" s="2">
        <f>D133</f>
        <v>1.8403914075288159</v>
      </c>
    </row>
    <row r="123" spans="1:4">
      <c r="A123" s="38"/>
      <c r="B123" s="26" t="s">
        <v>4</v>
      </c>
      <c r="C123" s="13">
        <f>962.6*29.52</f>
        <v>28415.952000000001</v>
      </c>
      <c r="D123" s="2">
        <f>C123/D11/12</f>
        <v>1.1220496394082695</v>
      </c>
    </row>
    <row r="124" spans="1:4" ht="28.5">
      <c r="A124" s="38"/>
      <c r="B124" s="27" t="s">
        <v>5</v>
      </c>
      <c r="C124" s="2">
        <f>C123*0.302</f>
        <v>8581.6175039999998</v>
      </c>
      <c r="D124" s="2">
        <f>C124/D11/12</f>
        <v>0.33885899110129736</v>
      </c>
    </row>
    <row r="125" spans="1:4">
      <c r="A125" s="38"/>
      <c r="B125" s="24" t="s">
        <v>6</v>
      </c>
      <c r="C125" s="13">
        <f>962.6*1.91</f>
        <v>1838.566</v>
      </c>
      <c r="D125" s="2">
        <f>C125/D11/12</f>
        <v>7.2598740219166485E-2</v>
      </c>
    </row>
    <row r="126" spans="1:4">
      <c r="A126" s="38"/>
      <c r="B126" s="3" t="s">
        <v>12</v>
      </c>
      <c r="C126" s="13">
        <f>(64000+12000)/51186.1*962.6</f>
        <v>1429.2473933353001</v>
      </c>
      <c r="D126" s="2">
        <f>C126/D11/12</f>
        <v>5.6436135671860739E-2</v>
      </c>
    </row>
    <row r="127" spans="1:4">
      <c r="A127" s="38"/>
      <c r="B127" s="24" t="s">
        <v>8</v>
      </c>
      <c r="C127" s="2">
        <f>C123+C124+C125+C126</f>
        <v>40265.382897335301</v>
      </c>
      <c r="D127" s="2">
        <f>D123+D124+D125+D126</f>
        <v>1.5899435064005942</v>
      </c>
    </row>
    <row r="128" spans="1:4">
      <c r="A128" s="38"/>
      <c r="B128" s="3" t="s">
        <v>9</v>
      </c>
      <c r="C128" s="2">
        <f>C127*5/100</f>
        <v>2013.2691448667651</v>
      </c>
      <c r="D128" s="2">
        <f>C128/D11/12</f>
        <v>7.94971753200297E-2</v>
      </c>
    </row>
    <row r="129" spans="1:6">
      <c r="A129" s="38"/>
      <c r="B129" s="24" t="s">
        <v>8</v>
      </c>
      <c r="C129" s="2">
        <f>C127+C128</f>
        <v>42278.652042202069</v>
      </c>
      <c r="D129" s="2">
        <f>D127+D128</f>
        <v>1.669440681720624</v>
      </c>
    </row>
    <row r="130" spans="1:6">
      <c r="A130" s="38"/>
      <c r="B130" s="24" t="s">
        <v>10</v>
      </c>
      <c r="C130" s="2">
        <f>C129*6/100</f>
        <v>2536.7191225321239</v>
      </c>
      <c r="D130" s="2">
        <f>C130/D11/12</f>
        <v>0.10016644090323741</v>
      </c>
    </row>
    <row r="131" spans="1:6">
      <c r="A131" s="38"/>
      <c r="B131" s="24" t="s">
        <v>8</v>
      </c>
      <c r="C131" s="2">
        <f>C129+C130</f>
        <v>44815.371164734192</v>
      </c>
      <c r="D131" s="2">
        <f>D129+D130</f>
        <v>1.7696071226238614</v>
      </c>
    </row>
    <row r="132" spans="1:6">
      <c r="A132" s="38"/>
      <c r="B132" s="5" t="s">
        <v>11</v>
      </c>
      <c r="C132" s="2">
        <f>C131*4/100</f>
        <v>1792.6148465893677</v>
      </c>
      <c r="D132" s="2">
        <f>C132/D11/12</f>
        <v>7.0784284904954448E-2</v>
      </c>
    </row>
    <row r="133" spans="1:6">
      <c r="A133" s="38"/>
      <c r="B133" s="5" t="s">
        <v>8</v>
      </c>
      <c r="C133" s="2">
        <f>C131+C132</f>
        <v>46607.986011323563</v>
      </c>
      <c r="D133" s="2">
        <f>D131+D132</f>
        <v>1.8403914075288159</v>
      </c>
    </row>
    <row r="134" spans="1:6" ht="44.25" customHeight="1">
      <c r="A134" s="42" t="s">
        <v>64</v>
      </c>
      <c r="B134" s="5" t="s">
        <v>65</v>
      </c>
      <c r="C134" s="4">
        <f>C138+C146+C142</f>
        <v>630.05388800000003</v>
      </c>
      <c r="D134" s="4">
        <f>D138+D146+D142</f>
        <v>2.4878692708876271E-2</v>
      </c>
      <c r="F134" s="17"/>
    </row>
    <row r="135" spans="1:6">
      <c r="A135" s="38" t="s">
        <v>35</v>
      </c>
      <c r="B135" s="5" t="s">
        <v>112</v>
      </c>
      <c r="C135" s="46"/>
      <c r="D135" s="4"/>
    </row>
    <row r="136" spans="1:6">
      <c r="A136" s="38"/>
      <c r="B136" s="24" t="s">
        <v>10</v>
      </c>
      <c r="C136" s="2">
        <f>1297.19*6/100</f>
        <v>77.831400000000002</v>
      </c>
      <c r="D136" s="2">
        <f>C136/12/D11</f>
        <v>3.0732982060442944E-3</v>
      </c>
    </row>
    <row r="137" spans="1:6">
      <c r="A137" s="38"/>
      <c r="B137" s="5" t="s">
        <v>11</v>
      </c>
      <c r="C137" s="2">
        <f>(1297.19+C136)*4/100</f>
        <v>55.000856000000006</v>
      </c>
      <c r="D137" s="2">
        <f>C137/12/D11</f>
        <v>2.1717973989379682E-3</v>
      </c>
    </row>
    <row r="138" spans="1:6">
      <c r="A138" s="38"/>
      <c r="B138" s="5" t="s">
        <v>8</v>
      </c>
      <c r="C138" s="2">
        <f>C136+C137</f>
        <v>132.832256</v>
      </c>
      <c r="D138" s="2">
        <f>D136+D137</f>
        <v>5.2450956049822622E-3</v>
      </c>
    </row>
    <row r="139" spans="1:6">
      <c r="A139" s="55" t="s">
        <v>36</v>
      </c>
      <c r="B139" s="5" t="s">
        <v>113</v>
      </c>
      <c r="C139" s="46"/>
      <c r="D139" s="4"/>
    </row>
    <row r="140" spans="1:6">
      <c r="A140" s="55"/>
      <c r="B140" s="24" t="s">
        <v>10</v>
      </c>
      <c r="C140" s="2">
        <f>1148.72*6/100</f>
        <v>68.923199999999994</v>
      </c>
      <c r="D140" s="2">
        <f>C140/12/D11</f>
        <v>2.7215435790032315E-3</v>
      </c>
    </row>
    <row r="141" spans="1:6">
      <c r="A141" s="55"/>
      <c r="B141" s="5" t="s">
        <v>11</v>
      </c>
      <c r="C141" s="2">
        <f>(1148.72+C140)*4/100</f>
        <v>48.705728000000001</v>
      </c>
      <c r="D141" s="2">
        <f>C141/12/D11</f>
        <v>1.9232241291622838E-3</v>
      </c>
    </row>
    <row r="142" spans="1:6">
      <c r="A142" s="55"/>
      <c r="B142" s="5" t="s">
        <v>8</v>
      </c>
      <c r="C142" s="2">
        <f>C140+C141</f>
        <v>117.628928</v>
      </c>
      <c r="D142" s="2">
        <f>D140+D141</f>
        <v>4.6447677081655151E-3</v>
      </c>
    </row>
    <row r="143" spans="1:6">
      <c r="A143" s="38" t="s">
        <v>42</v>
      </c>
      <c r="B143" s="5" t="s">
        <v>114</v>
      </c>
      <c r="C143" s="46"/>
      <c r="D143" s="4"/>
    </row>
    <row r="144" spans="1:6">
      <c r="A144" s="38"/>
      <c r="B144" s="24" t="s">
        <v>10</v>
      </c>
      <c r="C144" s="2">
        <f>3706.96*6/100</f>
        <v>222.41760000000002</v>
      </c>
      <c r="D144" s="2">
        <f>C144/12/D11</f>
        <v>8.782517224059665E-3</v>
      </c>
    </row>
    <row r="145" spans="1:5">
      <c r="A145" s="38"/>
      <c r="B145" s="5" t="s">
        <v>11</v>
      </c>
      <c r="C145" s="2">
        <f>(3706.96+C144)*4/100</f>
        <v>157.175104</v>
      </c>
      <c r="D145" s="2">
        <f>C145/12/D11</f>
        <v>6.2063121716688305E-3</v>
      </c>
    </row>
    <row r="146" spans="1:5">
      <c r="A146" s="38"/>
      <c r="B146" s="5" t="s">
        <v>8</v>
      </c>
      <c r="C146" s="2">
        <f>C144+C145</f>
        <v>379.59270400000003</v>
      </c>
      <c r="D146" s="2">
        <f>D144+D145</f>
        <v>1.4988829395728495E-2</v>
      </c>
    </row>
    <row r="147" spans="1:5">
      <c r="A147" s="38"/>
      <c r="B147" s="6" t="s">
        <v>30</v>
      </c>
      <c r="C147" s="2">
        <f>C12+C47+C134</f>
        <v>473575.74594897678</v>
      </c>
      <c r="D147" s="2">
        <f>D12+D47+D134</f>
        <v>18.699901202484849</v>
      </c>
      <c r="E147" s="17"/>
    </row>
    <row r="148" spans="1:5" ht="28.5">
      <c r="A148" s="42" t="s">
        <v>66</v>
      </c>
      <c r="B148" s="24" t="s">
        <v>67</v>
      </c>
      <c r="C148" s="2">
        <v>50274</v>
      </c>
      <c r="D148" s="29">
        <v>1.99</v>
      </c>
    </row>
    <row r="149" spans="1:5" hidden="1">
      <c r="A149" s="38"/>
      <c r="B149" s="6" t="s">
        <v>30</v>
      </c>
      <c r="C149" s="7"/>
      <c r="D149" s="7"/>
    </row>
    <row r="150" spans="1:5" hidden="1">
      <c r="A150" s="42" t="s">
        <v>72</v>
      </c>
      <c r="B150" s="3" t="s">
        <v>73</v>
      </c>
      <c r="C150" s="2">
        <v>0</v>
      </c>
      <c r="D150" s="2">
        <v>0</v>
      </c>
    </row>
    <row r="151" spans="1:5">
      <c r="A151" s="38"/>
      <c r="B151" s="41" t="s">
        <v>71</v>
      </c>
      <c r="C151" s="2">
        <f>C147+C148</f>
        <v>523849.74594897678</v>
      </c>
      <c r="D151" s="2">
        <f>D147+D148</f>
        <v>20.689901202484847</v>
      </c>
    </row>
    <row r="152" spans="1:5">
      <c r="B152" s="8"/>
      <c r="C152" s="15"/>
      <c r="D152" s="8"/>
    </row>
    <row r="153" spans="1:5">
      <c r="B153" s="9" t="s">
        <v>75</v>
      </c>
      <c r="C153" s="16"/>
      <c r="D153" s="10"/>
    </row>
    <row r="154" spans="1:5" ht="15.75">
      <c r="B154" s="30" t="s">
        <v>47</v>
      </c>
      <c r="C154" s="31"/>
      <c r="D154" s="30"/>
    </row>
    <row r="155" spans="1:5" ht="15.75">
      <c r="B155" s="30"/>
      <c r="C155" s="31"/>
      <c r="D155" s="30"/>
    </row>
    <row r="156" spans="1:5">
      <c r="B156" s="72" t="s">
        <v>31</v>
      </c>
      <c r="C156" s="72"/>
      <c r="D156" s="72"/>
    </row>
    <row r="157" spans="1:5" ht="15.75">
      <c r="B157" s="30"/>
      <c r="C157" s="31"/>
      <c r="D157" s="30"/>
    </row>
  </sheetData>
  <mergeCells count="11">
    <mergeCell ref="B7:D7"/>
    <mergeCell ref="C1:D1"/>
    <mergeCell ref="C2:D2"/>
    <mergeCell ref="C3:D3"/>
    <mergeCell ref="C4:D4"/>
    <mergeCell ref="B6:D6"/>
    <mergeCell ref="A9:A10"/>
    <mergeCell ref="B9:B10"/>
    <mergeCell ref="C9:C10"/>
    <mergeCell ref="D9:D10"/>
    <mergeCell ref="B156:D15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0"/>
  <sheetViews>
    <sheetView zoomScale="120" zoomScaleNormal="120" workbookViewId="0">
      <selection activeCell="K144" sqref="K144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77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2499.15</v>
      </c>
    </row>
    <row r="12" spans="1:6">
      <c r="A12" s="42" t="s">
        <v>51</v>
      </c>
      <c r="B12" s="24" t="s">
        <v>52</v>
      </c>
      <c r="C12" s="2">
        <f>C13+C24+C43</f>
        <v>248411.08071844012</v>
      </c>
      <c r="D12" s="2">
        <f>D13+D24+D43</f>
        <v>8.2831856403990738</v>
      </c>
    </row>
    <row r="13" spans="1:6">
      <c r="A13" s="43" t="s">
        <v>35</v>
      </c>
      <c r="B13" s="24" t="s">
        <v>70</v>
      </c>
      <c r="C13" s="2">
        <f>C23</f>
        <v>163837.07903240068</v>
      </c>
      <c r="D13" s="2">
        <f>D23</f>
        <v>5.4630934195093221</v>
      </c>
      <c r="F13" s="17"/>
    </row>
    <row r="14" spans="1:6">
      <c r="A14" s="43"/>
      <c r="B14" s="24" t="s">
        <v>13</v>
      </c>
      <c r="C14" s="2">
        <f>(2363756.52+40177.8)/56146.82*D11</f>
        <v>107001.4732059269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C14*0.302</f>
        <v>32314.444908189922</v>
      </c>
      <c r="D15" s="2">
        <f>D14*0.302</f>
        <v>1.0775145185426351</v>
      </c>
    </row>
    <row r="16" spans="1:6">
      <c r="A16" s="43"/>
      <c r="B16" s="24" t="s">
        <v>6</v>
      </c>
      <c r="C16" s="14">
        <f>50000/56146.82*D11</f>
        <v>2225.5490159549554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141541.46713007177</v>
      </c>
      <c r="D17" s="2">
        <f>D14+D15+D16</f>
        <v>4.7196535865551548</v>
      </c>
    </row>
    <row r="18" spans="1:4">
      <c r="A18" s="43"/>
      <c r="B18" s="3" t="s">
        <v>9</v>
      </c>
      <c r="C18" s="2">
        <f>C17*5/100</f>
        <v>7077.073356503588</v>
      </c>
      <c r="D18" s="2">
        <f>D17*5/100</f>
        <v>0.23598267932775774</v>
      </c>
    </row>
    <row r="19" spans="1:4">
      <c r="A19" s="43"/>
      <c r="B19" s="24" t="s">
        <v>8</v>
      </c>
      <c r="C19" s="2">
        <f>C17+C18</f>
        <v>148618.54048657537</v>
      </c>
      <c r="D19" s="2">
        <f>D17+D18</f>
        <v>4.9556362658829123</v>
      </c>
    </row>
    <row r="20" spans="1:4">
      <c r="A20" s="43"/>
      <c r="B20" s="24" t="s">
        <v>10</v>
      </c>
      <c r="C20" s="2">
        <f>C19*6/100</f>
        <v>8917.1124291945234</v>
      </c>
      <c r="D20" s="2">
        <f>D19*6/100</f>
        <v>0.29733817595297474</v>
      </c>
    </row>
    <row r="21" spans="1:4">
      <c r="A21" s="43"/>
      <c r="B21" s="24" t="s">
        <v>8</v>
      </c>
      <c r="C21" s="2">
        <f>C19+C20</f>
        <v>157535.6529157699</v>
      </c>
      <c r="D21" s="2">
        <f>D19+D20</f>
        <v>5.252974441835887</v>
      </c>
    </row>
    <row r="22" spans="1:4">
      <c r="A22" s="43"/>
      <c r="B22" s="5" t="s">
        <v>11</v>
      </c>
      <c r="C22" s="2">
        <f>C21*4/100</f>
        <v>6301.4261166307961</v>
      </c>
      <c r="D22" s="2">
        <f>D21*4/100</f>
        <v>0.21011897767343549</v>
      </c>
    </row>
    <row r="23" spans="1:4">
      <c r="A23" s="43"/>
      <c r="B23" s="5" t="s">
        <v>8</v>
      </c>
      <c r="C23" s="2">
        <f>C21+C22</f>
        <v>163837.07903240068</v>
      </c>
      <c r="D23" s="2">
        <f>D21+D22</f>
        <v>5.4630934195093221</v>
      </c>
    </row>
    <row r="24" spans="1:4">
      <c r="A24" s="43" t="s">
        <v>36</v>
      </c>
      <c r="B24" s="24" t="s">
        <v>69</v>
      </c>
      <c r="C24" s="2">
        <f>C42</f>
        <v>61329.931686039447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712.17568510558567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15222.755269131896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14154.491741473516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2002.9941143594597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2502.4740800102304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3568.4617612448933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4175.1299539314959</v>
      </c>
      <c r="D31" s="2">
        <f>C31/D11/12</f>
        <v>0.13921833269750034</v>
      </c>
    </row>
    <row r="32" spans="1:4">
      <c r="A32" s="43"/>
      <c r="B32" s="3" t="s">
        <v>24</v>
      </c>
      <c r="C32" s="2">
        <f>7000/56146.82*D11</f>
        <v>311.57686223369376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5032.5894787986217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3765.6289349957847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1535.6288210089192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52983.906702294087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2649.195335114704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55633.102037408789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3337.986122244527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58971.088159653315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2358.8435263861325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61329.931686039447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23244.07</v>
      </c>
      <c r="D43" s="2">
        <f>D46</f>
        <v>0.77506585572427966</v>
      </c>
    </row>
    <row r="44" spans="1:5">
      <c r="A44" s="43"/>
      <c r="B44" s="5" t="s">
        <v>28</v>
      </c>
      <c r="C44" s="46">
        <v>21289.74</v>
      </c>
      <c r="D44" s="4">
        <f>C44/12/D11</f>
        <v>0.70989936578436674</v>
      </c>
    </row>
    <row r="45" spans="1:5" ht="19.5" customHeight="1">
      <c r="A45" s="43"/>
      <c r="B45" s="5" t="s">
        <v>29</v>
      </c>
      <c r="C45" s="46">
        <v>1954.33</v>
      </c>
      <c r="D45" s="4">
        <f>C45/12/D11</f>
        <v>6.5166489939912892E-2</v>
      </c>
    </row>
    <row r="46" spans="1:5">
      <c r="A46" s="43"/>
      <c r="B46" s="5" t="s">
        <v>8</v>
      </c>
      <c r="C46" s="4">
        <f>C44+C45</f>
        <v>23244.07</v>
      </c>
      <c r="D46" s="4">
        <f>D44+D45</f>
        <v>0.77506585572427966</v>
      </c>
      <c r="E46" s="45"/>
    </row>
    <row r="47" spans="1:5">
      <c r="A47" s="42" t="s">
        <v>54</v>
      </c>
      <c r="B47" s="5" t="s">
        <v>55</v>
      </c>
      <c r="C47" s="2">
        <f>C48+C59+C102</f>
        <v>395864.98279302142</v>
      </c>
      <c r="D47" s="2">
        <f>D48+D59+D102</f>
        <v>13.199987422157578</v>
      </c>
    </row>
    <row r="48" spans="1:5" ht="47.25" customHeight="1">
      <c r="A48" s="43" t="s">
        <v>35</v>
      </c>
      <c r="B48" s="28" t="s">
        <v>46</v>
      </c>
      <c r="C48" s="4">
        <f>C58</f>
        <v>27676.618471423899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16654.933450122375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5029.789901936957</v>
      </c>
      <c r="D50" s="2">
        <f>C50/D11/12</f>
        <v>0.16771668707150286</v>
      </c>
    </row>
    <row r="51" spans="1:7">
      <c r="A51" s="43"/>
      <c r="B51" s="24" t="s">
        <v>6</v>
      </c>
      <c r="C51" s="13">
        <f>50000/56146.82*D11</f>
        <v>2225.5490159549554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23910.272368014288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1195.5136184007144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25105.785986415001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1506.3471591849002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26612.133145599902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1064.4853258239962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27676.618471423899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187004.4709360878</v>
      </c>
      <c r="D59" s="23">
        <f>D60+D71+D82+D93+D101</f>
        <v>6.2356024693758458</v>
      </c>
      <c r="G59" s="17"/>
    </row>
    <row r="60" spans="1:7">
      <c r="A60" s="43" t="s">
        <v>38</v>
      </c>
      <c r="B60" s="24" t="s">
        <v>40</v>
      </c>
      <c r="C60" s="2">
        <f>C70</f>
        <v>39108.534451139793</v>
      </c>
      <c r="D60" s="2">
        <f>D70</f>
        <v>1.30406119584458</v>
      </c>
    </row>
    <row r="61" spans="1:7">
      <c r="A61" s="43"/>
      <c r="B61" s="24" t="s">
        <v>13</v>
      </c>
      <c r="C61" s="2">
        <f>(402940.32+0.5*298665.6)/56146.82*D11</f>
        <v>24582.217975087457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7423.8298284764114</v>
      </c>
      <c r="D62" s="2">
        <f>C62/D11/12</f>
        <v>0.24754515963682355</v>
      </c>
    </row>
    <row r="63" spans="1:7">
      <c r="A63" s="43"/>
      <c r="B63" s="24" t="s">
        <v>6</v>
      </c>
      <c r="C63" s="13">
        <f>40000/56146.82*D11</f>
        <v>1780.4392127639642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33786.487016327832</v>
      </c>
      <c r="D64" s="2">
        <f>D61+D62+D63</f>
        <v>1.1265992776319891</v>
      </c>
    </row>
    <row r="65" spans="1:4">
      <c r="A65" s="43"/>
      <c r="B65" s="3" t="s">
        <v>9</v>
      </c>
      <c r="C65" s="2">
        <f>C64*5/100</f>
        <v>1689.3243508163914</v>
      </c>
      <c r="D65" s="2">
        <f>D64*5/100</f>
        <v>5.6329963881599457E-2</v>
      </c>
    </row>
    <row r="66" spans="1:4">
      <c r="A66" s="43"/>
      <c r="B66" s="24" t="s">
        <v>8</v>
      </c>
      <c r="C66" s="2">
        <f>C64+C65</f>
        <v>35475.811367144226</v>
      </c>
      <c r="D66" s="2">
        <f>D64+D65</f>
        <v>1.1829292415135886</v>
      </c>
    </row>
    <row r="67" spans="1:4">
      <c r="A67" s="43"/>
      <c r="B67" s="24" t="s">
        <v>10</v>
      </c>
      <c r="C67" s="2">
        <f>C66*6/100</f>
        <v>2128.5486820286537</v>
      </c>
      <c r="D67" s="2">
        <f>D66*6/100</f>
        <v>7.0975754490815321E-2</v>
      </c>
    </row>
    <row r="68" spans="1:4">
      <c r="A68" s="43"/>
      <c r="B68" s="24" t="s">
        <v>8</v>
      </c>
      <c r="C68" s="2">
        <f>C66+C67</f>
        <v>37604.360049172879</v>
      </c>
      <c r="D68" s="2">
        <f>D66+D67</f>
        <v>1.253904996004404</v>
      </c>
    </row>
    <row r="69" spans="1:4">
      <c r="A69" s="43"/>
      <c r="B69" s="5" t="s">
        <v>11</v>
      </c>
      <c r="C69" s="2">
        <f>C68*4/100</f>
        <v>1504.1744019669152</v>
      </c>
      <c r="D69" s="2">
        <f>D68*4/100</f>
        <v>5.0156199840176156E-2</v>
      </c>
    </row>
    <row r="70" spans="1:4">
      <c r="A70" s="43"/>
      <c r="B70" s="5" t="s">
        <v>8</v>
      </c>
      <c r="C70" s="2">
        <f>C68+C69</f>
        <v>39108.534451139793</v>
      </c>
      <c r="D70" s="2">
        <f>D68+D69</f>
        <v>1.30406119584458</v>
      </c>
    </row>
    <row r="71" spans="1:4">
      <c r="A71" s="43" t="s">
        <v>39</v>
      </c>
      <c r="B71" s="24" t="s">
        <v>41</v>
      </c>
      <c r="C71" s="2">
        <f>C81</f>
        <v>16515.842555505631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10275.023303652815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3103.0570377031499</v>
      </c>
      <c r="D73" s="2">
        <f>C73/D11/12</f>
        <v>0.10347041453104555</v>
      </c>
    </row>
    <row r="74" spans="1:4">
      <c r="A74" s="43"/>
      <c r="B74" s="24" t="s">
        <v>6</v>
      </c>
      <c r="C74" s="13">
        <f>20000/56146.82*D11</f>
        <v>890.21960638198209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14268.299947737949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713.41499738689743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14981.714945124846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898.90289670749075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15880.617841832336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635.22471367329342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16515.842555505631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100127.05392944237</v>
      </c>
      <c r="D82" s="2">
        <f>D92</f>
        <v>3.3387036235467509</v>
      </c>
    </row>
    <row r="83" spans="1:4">
      <c r="A83" s="43"/>
      <c r="B83" s="24" t="s">
        <v>13</v>
      </c>
      <c r="C83" s="2">
        <f>(1395324.48+0.3*298665.6)/56146.82*D11</f>
        <v>66095.430061114777</v>
      </c>
      <c r="D83" s="2">
        <f>C83/D11/12</f>
        <v>2.2039303383521989</v>
      </c>
    </row>
    <row r="84" spans="1:4" ht="28.5">
      <c r="A84" s="43"/>
      <c r="B84" s="27" t="s">
        <v>5</v>
      </c>
      <c r="C84" s="2">
        <f>C83*0.302</f>
        <v>19960.819878456663</v>
      </c>
      <c r="D84" s="2">
        <f>D83*0.302</f>
        <v>0.66558696218236402</v>
      </c>
    </row>
    <row r="85" spans="1:4">
      <c r="A85" s="43"/>
      <c r="B85" s="24" t="s">
        <v>6</v>
      </c>
      <c r="C85" s="13">
        <f>10000/56146.82*D11</f>
        <v>445.10980319099104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86501.359742762434</v>
      </c>
      <c r="D86" s="2">
        <f>D83+D84+D85</f>
        <v>2.8843593402677716</v>
      </c>
    </row>
    <row r="87" spans="1:4">
      <c r="A87" s="43"/>
      <c r="B87" s="3" t="s">
        <v>9</v>
      </c>
      <c r="C87" s="2">
        <f>C86*5/100</f>
        <v>4325.0679871381217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90826.427729900548</v>
      </c>
      <c r="D88" s="2">
        <f>D86+D87</f>
        <v>3.0285773072811604</v>
      </c>
    </row>
    <row r="89" spans="1:4">
      <c r="A89" s="43"/>
      <c r="B89" s="24" t="s">
        <v>10</v>
      </c>
      <c r="C89" s="2">
        <f>C88*6/100</f>
        <v>5449.5856637940324</v>
      </c>
      <c r="D89" s="2">
        <f>D88*6/100</f>
        <v>0.18171463843686961</v>
      </c>
    </row>
    <row r="90" spans="1:4">
      <c r="A90" s="43"/>
      <c r="B90" s="24" t="s">
        <v>8</v>
      </c>
      <c r="C90" s="2">
        <f>C88+C89</f>
        <v>96276.013393694579</v>
      </c>
      <c r="D90" s="2">
        <f>D88+D89</f>
        <v>3.2102919457180299</v>
      </c>
    </row>
    <row r="91" spans="1:4">
      <c r="A91" s="43"/>
      <c r="B91" s="5" t="s">
        <v>11</v>
      </c>
      <c r="C91" s="2">
        <f>C90*4/100</f>
        <v>3851.040535747783</v>
      </c>
      <c r="D91" s="2">
        <f>D90*4/100</f>
        <v>0.1284116778287212</v>
      </c>
    </row>
    <row r="92" spans="1:4">
      <c r="A92" s="43"/>
      <c r="B92" s="5" t="s">
        <v>8</v>
      </c>
      <c r="C92" s="2">
        <f>C90+C91</f>
        <v>100127.05392944237</v>
      </c>
      <c r="D92" s="2">
        <f>D90+D91</f>
        <v>3.3387036235467509</v>
      </c>
    </row>
    <row r="93" spans="1:4" ht="31.5">
      <c r="A93" s="43" t="s">
        <v>57</v>
      </c>
      <c r="B93" s="28" t="s">
        <v>44</v>
      </c>
      <c r="C93" s="23">
        <f>C100</f>
        <v>31253.040000000001</v>
      </c>
      <c r="D93" s="23">
        <f>D100</f>
        <v>1.0421223215893403</v>
      </c>
    </row>
    <row r="94" spans="1:4">
      <c r="A94" s="43"/>
      <c r="B94" s="3" t="s">
        <v>16</v>
      </c>
      <c r="C94" s="13">
        <f>50*180*3</f>
        <v>27000</v>
      </c>
      <c r="D94" s="2">
        <f>C94/D11/12</f>
        <v>0.90030610407538558</v>
      </c>
    </row>
    <row r="95" spans="1:4">
      <c r="A95" s="43"/>
      <c r="B95" s="3" t="s">
        <v>9</v>
      </c>
      <c r="C95" s="2">
        <f>C94*5/100</f>
        <v>1350</v>
      </c>
      <c r="D95" s="2">
        <f>D94*5/100</f>
        <v>4.5015305203769278E-2</v>
      </c>
    </row>
    <row r="96" spans="1:4">
      <c r="A96" s="43"/>
      <c r="B96" s="24" t="s">
        <v>8</v>
      </c>
      <c r="C96" s="2">
        <f>C94+C95</f>
        <v>28350</v>
      </c>
      <c r="D96" s="2">
        <f>D94+D95</f>
        <v>0.94532140927915487</v>
      </c>
    </row>
    <row r="97" spans="1:4">
      <c r="A97" s="43"/>
      <c r="B97" s="24" t="s">
        <v>10</v>
      </c>
      <c r="C97" s="2">
        <f>C96*6/100</f>
        <v>1701</v>
      </c>
      <c r="D97" s="2">
        <f>D96*6/100</f>
        <v>5.6719284556749294E-2</v>
      </c>
    </row>
    <row r="98" spans="1:4">
      <c r="A98" s="43"/>
      <c r="B98" s="24" t="s">
        <v>8</v>
      </c>
      <c r="C98" s="2">
        <f>C96+C97</f>
        <v>30051</v>
      </c>
      <c r="D98" s="2">
        <f>D96+D97</f>
        <v>1.0020406938359041</v>
      </c>
    </row>
    <row r="99" spans="1:4">
      <c r="A99" s="43"/>
      <c r="B99" s="5" t="s">
        <v>11</v>
      </c>
      <c r="C99" s="2">
        <f>C98*4/100</f>
        <v>1202.04</v>
      </c>
      <c r="D99" s="2">
        <f>D98*4/100</f>
        <v>4.0081627753436162E-2</v>
      </c>
    </row>
    <row r="100" spans="1:4">
      <c r="A100" s="43"/>
      <c r="B100" s="5" t="s">
        <v>8</v>
      </c>
      <c r="C100" s="2">
        <f>C98+C99</f>
        <v>31253.040000000001</v>
      </c>
      <c r="D100" s="2">
        <f>D98+D99</f>
        <v>1.0421223215893403</v>
      </c>
    </row>
    <row r="101" spans="1:4" ht="31.5">
      <c r="A101" s="43" t="s">
        <v>58</v>
      </c>
      <c r="B101" s="28" t="s">
        <v>88</v>
      </c>
      <c r="C101" s="13">
        <v>0</v>
      </c>
      <c r="D101" s="13">
        <v>0</v>
      </c>
    </row>
    <row r="102" spans="1:4" ht="29.25">
      <c r="A102" s="37" t="s">
        <v>42</v>
      </c>
      <c r="B102" s="22" t="s">
        <v>59</v>
      </c>
      <c r="C102" s="23">
        <f>C114+C126</f>
        <v>181183.89338550973</v>
      </c>
      <c r="D102" s="23">
        <f>D114+D126</f>
        <v>6.0415172287080843</v>
      </c>
    </row>
    <row r="103" spans="1:4" ht="28.5">
      <c r="A103" s="43" t="s">
        <v>61</v>
      </c>
      <c r="B103" s="24" t="s">
        <v>60</v>
      </c>
      <c r="C103" s="25">
        <f>C114</f>
        <v>58650.307058004488</v>
      </c>
      <c r="D103" s="2">
        <f>D114</f>
        <v>1.9556751648228556</v>
      </c>
    </row>
    <row r="104" spans="1:4">
      <c r="A104" s="43"/>
      <c r="B104" s="26" t="s">
        <v>4</v>
      </c>
      <c r="C104" s="33">
        <f>375.7*91.16</f>
        <v>34248.811999999998</v>
      </c>
      <c r="D104" s="2">
        <f>C104/D11/12</f>
        <v>1.1420153518863079</v>
      </c>
    </row>
    <row r="105" spans="1:4" ht="28.5">
      <c r="A105" s="43"/>
      <c r="B105" s="27" t="s">
        <v>5</v>
      </c>
      <c r="C105" s="2">
        <f>C104*0.302</f>
        <v>10343.141223999999</v>
      </c>
      <c r="D105" s="2">
        <f>C105/D11/12</f>
        <v>0.34488863626966498</v>
      </c>
    </row>
    <row r="106" spans="1:4">
      <c r="A106" s="43"/>
      <c r="B106" s="24" t="s">
        <v>6</v>
      </c>
      <c r="C106" s="33">
        <f>375.7*8.19</f>
        <v>3076.9829999999997</v>
      </c>
      <c r="D106" s="2">
        <f>C106/D11/12</f>
        <v>0.10260098433467378</v>
      </c>
    </row>
    <row r="107" spans="1:4">
      <c r="A107" s="43"/>
      <c r="B107" s="3" t="s">
        <v>7</v>
      </c>
      <c r="C107" s="13">
        <f>600*5</f>
        <v>3000</v>
      </c>
      <c r="D107" s="2">
        <f>C107/D11/12</f>
        <v>0.10003401156393173</v>
      </c>
    </row>
    <row r="108" spans="1:4">
      <c r="A108" s="43"/>
      <c r="B108" s="24" t="s">
        <v>8</v>
      </c>
      <c r="C108" s="2">
        <f>C104+C105+C106+C107</f>
        <v>50668.936223999997</v>
      </c>
      <c r="D108" s="2">
        <f>D104+D105+D106+D107</f>
        <v>1.6895389840545785</v>
      </c>
    </row>
    <row r="109" spans="1:4">
      <c r="A109" s="43"/>
      <c r="B109" s="3" t="s">
        <v>9</v>
      </c>
      <c r="C109" s="2">
        <f>C108*5/100</f>
        <v>2533.4468112</v>
      </c>
      <c r="D109" s="2">
        <f>C109/D11/12</f>
        <v>8.4476949202728926E-2</v>
      </c>
    </row>
    <row r="110" spans="1:4">
      <c r="A110" s="43"/>
      <c r="B110" s="24" t="s">
        <v>8</v>
      </c>
      <c r="C110" s="2">
        <f>C108+C109</f>
        <v>53202.3830352</v>
      </c>
      <c r="D110" s="2">
        <f>D108+D109</f>
        <v>1.7740159332573073</v>
      </c>
    </row>
    <row r="111" spans="1:4">
      <c r="A111" s="43"/>
      <c r="B111" s="24" t="s">
        <v>10</v>
      </c>
      <c r="C111" s="2">
        <f>C110*6/100</f>
        <v>3192.142982112</v>
      </c>
      <c r="D111" s="2">
        <f>C111/D11/12</f>
        <v>0.10644095599543844</v>
      </c>
    </row>
    <row r="112" spans="1:4">
      <c r="A112" s="43"/>
      <c r="B112" s="24" t="s">
        <v>8</v>
      </c>
      <c r="C112" s="2">
        <f>C110+C111</f>
        <v>56394.526017312004</v>
      </c>
      <c r="D112" s="2">
        <f>D110+D111</f>
        <v>1.8804568892527458</v>
      </c>
    </row>
    <row r="113" spans="1:6">
      <c r="A113" s="43"/>
      <c r="B113" s="5" t="s">
        <v>11</v>
      </c>
      <c r="C113" s="2">
        <f>C112*4/100</f>
        <v>2255.78104069248</v>
      </c>
      <c r="D113" s="2">
        <f>C113/D11/12</f>
        <v>7.5218275570109835E-2</v>
      </c>
    </row>
    <row r="114" spans="1:6">
      <c r="A114" s="43"/>
      <c r="B114" s="5" t="s">
        <v>8</v>
      </c>
      <c r="C114" s="2">
        <f>C112+C113</f>
        <v>58650.307058004488</v>
      </c>
      <c r="D114" s="2">
        <f>D112+D113</f>
        <v>1.9556751648228556</v>
      </c>
    </row>
    <row r="115" spans="1:6" ht="30.75" customHeight="1">
      <c r="A115" s="43" t="s">
        <v>62</v>
      </c>
      <c r="B115" s="24" t="s">
        <v>63</v>
      </c>
      <c r="C115" s="2">
        <f>C126</f>
        <v>122533.58632750523</v>
      </c>
      <c r="D115" s="2">
        <f>D126</f>
        <v>4.0858420638852282</v>
      </c>
    </row>
    <row r="116" spans="1:6">
      <c r="A116" s="43"/>
      <c r="B116" s="26" t="s">
        <v>4</v>
      </c>
      <c r="C116" s="13">
        <f>2530.7*29.52</f>
        <v>74706.263999999996</v>
      </c>
      <c r="D116" s="2">
        <f>C116/D11/12</f>
        <v>2.4910557589580455</v>
      </c>
    </row>
    <row r="117" spans="1:6" ht="28.5">
      <c r="A117" s="43"/>
      <c r="B117" s="27" t="s">
        <v>5</v>
      </c>
      <c r="C117" s="2">
        <f>C116*0.302</f>
        <v>22561.291727999997</v>
      </c>
      <c r="D117" s="2">
        <f>C117/D11/12</f>
        <v>0.75229883920532969</v>
      </c>
    </row>
    <row r="118" spans="1:6">
      <c r="A118" s="43"/>
      <c r="B118" s="24" t="s">
        <v>6</v>
      </c>
      <c r="C118" s="13">
        <f>2530.7*1.91</f>
        <v>4833.6369999999997</v>
      </c>
      <c r="D118" s="2">
        <f>C118/D11/12</f>
        <v>0.1611760331846161</v>
      </c>
    </row>
    <row r="119" spans="1:6">
      <c r="A119" s="43"/>
      <c r="B119" s="3" t="s">
        <v>12</v>
      </c>
      <c r="C119" s="13">
        <f>(64000+12000)/51186.1*2530.7</f>
        <v>3757.5279226196171</v>
      </c>
      <c r="D119" s="2">
        <f>C119/D11/12</f>
        <v>0.12529353055437573</v>
      </c>
    </row>
    <row r="120" spans="1:6">
      <c r="A120" s="43"/>
      <c r="B120" s="24" t="s">
        <v>8</v>
      </c>
      <c r="C120" s="2">
        <f>C116+C117+C118+C119</f>
        <v>105858.72065061961</v>
      </c>
      <c r="D120" s="2">
        <f>D116+D117+D118+D119</f>
        <v>3.5298241619023671</v>
      </c>
    </row>
    <row r="121" spans="1:6">
      <c r="A121" s="43"/>
      <c r="B121" s="3" t="s">
        <v>9</v>
      </c>
      <c r="C121" s="2">
        <f>C120*5/100</f>
        <v>5292.9360325309808</v>
      </c>
      <c r="D121" s="2">
        <f>C121/D11/12</f>
        <v>0.17649120809511834</v>
      </c>
    </row>
    <row r="122" spans="1:6">
      <c r="A122" s="43"/>
      <c r="B122" s="24" t="s">
        <v>8</v>
      </c>
      <c r="C122" s="2">
        <f>C120+C121</f>
        <v>111151.65668315059</v>
      </c>
      <c r="D122" s="2">
        <f>D120+D121</f>
        <v>3.7063153699974856</v>
      </c>
    </row>
    <row r="123" spans="1:6">
      <c r="A123" s="43"/>
      <c r="B123" s="24" t="s">
        <v>10</v>
      </c>
      <c r="C123" s="2">
        <f>C122*6/100</f>
        <v>6669.0994009890364</v>
      </c>
      <c r="D123" s="2">
        <f>C123/D11/12</f>
        <v>0.22237892219984914</v>
      </c>
    </row>
    <row r="124" spans="1:6">
      <c r="A124" s="43"/>
      <c r="B124" s="24" t="s">
        <v>8</v>
      </c>
      <c r="C124" s="2">
        <f>C122+C123</f>
        <v>117820.75608413963</v>
      </c>
      <c r="D124" s="2">
        <f>D122+D123</f>
        <v>3.9286942921973349</v>
      </c>
    </row>
    <row r="125" spans="1:6">
      <c r="A125" s="43"/>
      <c r="B125" s="5" t="s">
        <v>11</v>
      </c>
      <c r="C125" s="2">
        <f>C124*4/100</f>
        <v>4712.8302433655854</v>
      </c>
      <c r="D125" s="2">
        <f>C125/D11/12</f>
        <v>0.15714777168789337</v>
      </c>
    </row>
    <row r="126" spans="1:6">
      <c r="A126" s="43"/>
      <c r="B126" s="5" t="s">
        <v>8</v>
      </c>
      <c r="C126" s="2">
        <f>C124+C125</f>
        <v>122533.58632750523</v>
      </c>
      <c r="D126" s="2">
        <f>D124+D125</f>
        <v>4.0858420638852282</v>
      </c>
    </row>
    <row r="127" spans="1:6" ht="44.25" customHeight="1">
      <c r="A127" s="42" t="s">
        <v>64</v>
      </c>
      <c r="B127" s="5" t="s">
        <v>65</v>
      </c>
      <c r="C127" s="4">
        <f>C131+C139+C135</f>
        <v>1599.3989119999999</v>
      </c>
      <c r="D127" s="4">
        <f>D131+D139+D135</f>
        <v>5.3331429752782614E-2</v>
      </c>
      <c r="F127" s="17"/>
    </row>
    <row r="128" spans="1:6">
      <c r="A128" s="43" t="s">
        <v>35</v>
      </c>
      <c r="B128" s="5" t="s">
        <v>115</v>
      </c>
      <c r="C128" s="46"/>
      <c r="D128" s="4"/>
    </row>
    <row r="129" spans="1:5">
      <c r="A129" s="43"/>
      <c r="B129" s="24" t="s">
        <v>10</v>
      </c>
      <c r="C129" s="2">
        <f>3292.94*6/100</f>
        <v>197.57640000000001</v>
      </c>
      <c r="D129" s="2">
        <f>C129/12/D11</f>
        <v>6.5881199607866672E-3</v>
      </c>
    </row>
    <row r="130" spans="1:5">
      <c r="A130" s="43"/>
      <c r="B130" s="5" t="s">
        <v>11</v>
      </c>
      <c r="C130" s="2">
        <f>(3292.94+C129)*4/100</f>
        <v>139.620656</v>
      </c>
      <c r="D130" s="2">
        <f>C130/12/D11</f>
        <v>4.6556047722892454E-3</v>
      </c>
    </row>
    <row r="131" spans="1:5">
      <c r="A131" s="43"/>
      <c r="B131" s="5" t="s">
        <v>8</v>
      </c>
      <c r="C131" s="2">
        <f>C129+C130</f>
        <v>337.19705599999998</v>
      </c>
      <c r="D131" s="2">
        <f>D129+D130</f>
        <v>1.1243724733075913E-2</v>
      </c>
    </row>
    <row r="132" spans="1:5">
      <c r="A132" s="55" t="s">
        <v>36</v>
      </c>
      <c r="B132" s="5" t="s">
        <v>116</v>
      </c>
      <c r="C132" s="46"/>
      <c r="D132" s="4"/>
    </row>
    <row r="133" spans="1:5">
      <c r="A133" s="55"/>
      <c r="B133" s="24" t="s">
        <v>10</v>
      </c>
      <c r="C133" s="2">
        <f>2916.03*6/100</f>
        <v>174.96180000000001</v>
      </c>
      <c r="D133" s="2">
        <f>C133/12/D11</f>
        <v>5.834043574815438E-3</v>
      </c>
    </row>
    <row r="134" spans="1:5">
      <c r="A134" s="55"/>
      <c r="B134" s="5" t="s">
        <v>11</v>
      </c>
      <c r="C134" s="2">
        <f>(2916.03+C133)*4/100</f>
        <v>123.639672</v>
      </c>
      <c r="D134" s="2">
        <f>C134/12/D11</f>
        <v>4.1227241262029096E-3</v>
      </c>
    </row>
    <row r="135" spans="1:5">
      <c r="A135" s="55"/>
      <c r="B135" s="5" t="s">
        <v>8</v>
      </c>
      <c r="C135" s="2">
        <f>C133+C134</f>
        <v>298.601472</v>
      </c>
      <c r="D135" s="2">
        <f>D133+D134</f>
        <v>9.9567677010183476E-3</v>
      </c>
    </row>
    <row r="136" spans="1:5">
      <c r="A136" s="43" t="s">
        <v>42</v>
      </c>
      <c r="B136" s="5" t="s">
        <v>117</v>
      </c>
      <c r="C136" s="46"/>
      <c r="D136" s="4"/>
    </row>
    <row r="137" spans="1:5">
      <c r="A137" s="43"/>
      <c r="B137" s="24" t="s">
        <v>10</v>
      </c>
      <c r="C137" s="2">
        <f>9410.16*6/100</f>
        <v>564.6096</v>
      </c>
      <c r="D137" s="2">
        <f>C137/12/D11</f>
        <v>1.8826721085168956E-2</v>
      </c>
    </row>
    <row r="138" spans="1:5">
      <c r="A138" s="43"/>
      <c r="B138" s="5" t="s">
        <v>11</v>
      </c>
      <c r="C138" s="2">
        <f>(9410.16+C137)*4/100</f>
        <v>398.99078399999996</v>
      </c>
      <c r="D138" s="2">
        <f>C138/12/D11</f>
        <v>1.3304216233519395E-2</v>
      </c>
    </row>
    <row r="139" spans="1:5">
      <c r="A139" s="43"/>
      <c r="B139" s="5" t="s">
        <v>8</v>
      </c>
      <c r="C139" s="2">
        <f>C137+C138</f>
        <v>963.60038399999996</v>
      </c>
      <c r="D139" s="2">
        <f>D137+D138</f>
        <v>3.2130937318688352E-2</v>
      </c>
    </row>
    <row r="140" spans="1:5">
      <c r="A140" s="43"/>
      <c r="B140" s="6" t="s">
        <v>30</v>
      </c>
      <c r="C140" s="2">
        <f>C12+C47+C127</f>
        <v>645875.46242346149</v>
      </c>
      <c r="D140" s="2">
        <f>D12+D47+D127</f>
        <v>21.536504492309433</v>
      </c>
      <c r="E140" s="17"/>
    </row>
    <row r="141" spans="1:5" ht="28.5">
      <c r="A141" s="42" t="s">
        <v>66</v>
      </c>
      <c r="B141" s="24" t="s">
        <v>67</v>
      </c>
      <c r="C141" s="2">
        <v>78737</v>
      </c>
      <c r="D141" s="29">
        <v>2.63</v>
      </c>
    </row>
    <row r="142" spans="1:5">
      <c r="A142" s="43"/>
      <c r="B142" s="41" t="s">
        <v>71</v>
      </c>
      <c r="C142" s="2">
        <f>C140+C141</f>
        <v>724612.46242346149</v>
      </c>
      <c r="D142" s="2">
        <f>D140+D141</f>
        <v>24.166504492309432</v>
      </c>
    </row>
    <row r="143" spans="1:5">
      <c r="A143" s="42" t="s">
        <v>72</v>
      </c>
      <c r="B143" s="3" t="s">
        <v>73</v>
      </c>
      <c r="C143" s="2">
        <f>D143*12*D11</f>
        <v>59979.600000000006</v>
      </c>
      <c r="D143" s="2">
        <v>2</v>
      </c>
    </row>
    <row r="145" spans="2:4">
      <c r="B145" s="8"/>
      <c r="C145" s="15"/>
      <c r="D145" s="8"/>
    </row>
    <row r="146" spans="2:4">
      <c r="B146" s="9" t="s">
        <v>75</v>
      </c>
      <c r="C146" s="16"/>
      <c r="D146" s="10"/>
    </row>
    <row r="147" spans="2:4" ht="15.75">
      <c r="B147" s="30" t="s">
        <v>47</v>
      </c>
      <c r="C147" s="31"/>
      <c r="D147" s="30"/>
    </row>
    <row r="148" spans="2:4" ht="15.75">
      <c r="B148" s="30"/>
      <c r="C148" s="31"/>
      <c r="D148" s="30"/>
    </row>
    <row r="149" spans="2:4">
      <c r="B149" s="72" t="s">
        <v>31</v>
      </c>
      <c r="C149" s="72"/>
      <c r="D149" s="72"/>
    </row>
    <row r="150" spans="2:4" ht="15.75">
      <c r="B150" s="30"/>
      <c r="C150" s="31"/>
      <c r="D150" s="30"/>
    </row>
  </sheetData>
  <mergeCells count="11">
    <mergeCell ref="A9:A10"/>
    <mergeCell ref="B9:B10"/>
    <mergeCell ref="C9:C10"/>
    <mergeCell ref="D9:D10"/>
    <mergeCell ref="B149:D149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7"/>
  <sheetViews>
    <sheetView topLeftCell="A88" workbookViewId="0">
      <selection activeCell="D146" sqref="D146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76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1965.21</v>
      </c>
    </row>
    <row r="12" spans="1:6">
      <c r="A12" s="42" t="s">
        <v>51</v>
      </c>
      <c r="B12" s="24" t="s">
        <v>52</v>
      </c>
      <c r="C12" s="2">
        <f>C13+C24+C43</f>
        <v>190372.39958996643</v>
      </c>
      <c r="D12" s="2">
        <f>D13+D24+D43</f>
        <v>8.0726063028873263</v>
      </c>
    </row>
    <row r="13" spans="1:6">
      <c r="A13" s="43" t="s">
        <v>35</v>
      </c>
      <c r="B13" s="24" t="s">
        <v>70</v>
      </c>
      <c r="C13" s="2">
        <f>C23</f>
        <v>128930.90443292439</v>
      </c>
      <c r="D13" s="2">
        <f>D23</f>
        <v>5.4672233685341682</v>
      </c>
      <c r="F13" s="17"/>
    </row>
    <row r="14" spans="1:6">
      <c r="A14" s="43"/>
      <c r="B14" s="24" t="s">
        <v>13</v>
      </c>
      <c r="C14" s="2">
        <f>(2363756.52+40177.8)/56146.82*D11</f>
        <v>84140.753919940616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C14*0.303</f>
        <v>25494.648437742006</v>
      </c>
      <c r="D15" s="2">
        <f>D14*0.303</f>
        <v>1.0810824474119816</v>
      </c>
    </row>
    <row r="16" spans="1:6">
      <c r="A16" s="43"/>
      <c r="B16" s="24" t="s">
        <v>6</v>
      </c>
      <c r="C16" s="14">
        <f>50000/56146.82*D11</f>
        <v>1750.0634942459787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111385.46585192859</v>
      </c>
      <c r="D17" s="2">
        <f>D14+D15+D16</f>
        <v>4.723221515424501</v>
      </c>
    </row>
    <row r="18" spans="1:4">
      <c r="A18" s="43"/>
      <c r="B18" s="3" t="s">
        <v>9</v>
      </c>
      <c r="C18" s="2">
        <f>C17*5/100</f>
        <v>5569.2732925964301</v>
      </c>
      <c r="D18" s="2">
        <f>D17*5/100</f>
        <v>0.23616107577122505</v>
      </c>
    </row>
    <row r="19" spans="1:4">
      <c r="A19" s="43"/>
      <c r="B19" s="24" t="s">
        <v>8</v>
      </c>
      <c r="C19" s="2">
        <f>C17+C18</f>
        <v>116954.73914452503</v>
      </c>
      <c r="D19" s="2">
        <f>D17+D18</f>
        <v>4.9593825911957259</v>
      </c>
    </row>
    <row r="20" spans="1:4">
      <c r="A20" s="43"/>
      <c r="B20" s="24" t="s">
        <v>10</v>
      </c>
      <c r="C20" s="2">
        <f>C19*6/100</f>
        <v>7017.2843486715019</v>
      </c>
      <c r="D20" s="2">
        <f>D19*6/100</f>
        <v>0.29756295547174355</v>
      </c>
    </row>
    <row r="21" spans="1:4">
      <c r="A21" s="43"/>
      <c r="B21" s="24" t="s">
        <v>8</v>
      </c>
      <c r="C21" s="2">
        <f>C19+C20</f>
        <v>123972.02349319652</v>
      </c>
      <c r="D21" s="2">
        <f>D19+D20</f>
        <v>5.2569455466674695</v>
      </c>
    </row>
    <row r="22" spans="1:4">
      <c r="A22" s="43"/>
      <c r="B22" s="5" t="s">
        <v>11</v>
      </c>
      <c r="C22" s="2">
        <f>C21*4/100</f>
        <v>4958.880939727861</v>
      </c>
      <c r="D22" s="2">
        <f>D21*4/100</f>
        <v>0.21027782186669877</v>
      </c>
    </row>
    <row r="23" spans="1:4">
      <c r="A23" s="43"/>
      <c r="B23" s="5" t="s">
        <v>8</v>
      </c>
      <c r="C23" s="2">
        <f>C21+C22</f>
        <v>128930.90443292439</v>
      </c>
      <c r="D23" s="2">
        <f>D21+D22</f>
        <v>5.4672233685341682</v>
      </c>
    </row>
    <row r="24" spans="1:4">
      <c r="A24" s="43" t="s">
        <v>36</v>
      </c>
      <c r="B24" s="24" t="s">
        <v>69</v>
      </c>
      <c r="C24" s="2">
        <f>C42</f>
        <v>48226.875157042043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560.02031815871317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11970.434300642495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11130.403823404424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1575.0571448213807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1967.8238948350058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2806.0647571438599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3283.1191152054562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245.00888919443702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3957.3835782685464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2961.1074322641962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1207.5438110297252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41663.967064968245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2083.1983532484123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43747.16541821666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2624.8299250929995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46371.99534330966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1854.8798137323863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48226.875157042043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13214.619999999999</v>
      </c>
      <c r="D43" s="2">
        <f>D46</f>
        <v>0.56035656918768639</v>
      </c>
    </row>
    <row r="44" spans="1:5">
      <c r="A44" s="43"/>
      <c r="B44" s="5" t="s">
        <v>28</v>
      </c>
      <c r="C44" s="46">
        <v>12102.64</v>
      </c>
      <c r="D44" s="4">
        <f>C44/12/D11</f>
        <v>0.5132038475955919</v>
      </c>
    </row>
    <row r="45" spans="1:5" ht="19.5" customHeight="1">
      <c r="A45" s="43"/>
      <c r="B45" s="5" t="s">
        <v>29</v>
      </c>
      <c r="C45" s="46">
        <v>1111.98</v>
      </c>
      <c r="D45" s="4">
        <f>C45/12/D11</f>
        <v>4.7152721592094486E-2</v>
      </c>
    </row>
    <row r="46" spans="1:5">
      <c r="A46" s="43"/>
      <c r="B46" s="5" t="s">
        <v>8</v>
      </c>
      <c r="C46" s="4">
        <f>C44+C45</f>
        <v>13214.619999999999</v>
      </c>
      <c r="D46" s="4">
        <f>D44+D45</f>
        <v>0.56035656918768639</v>
      </c>
      <c r="E46" s="45"/>
    </row>
    <row r="47" spans="1:5">
      <c r="A47" s="42" t="s">
        <v>54</v>
      </c>
      <c r="B47" s="5" t="s">
        <v>55</v>
      </c>
      <c r="C47" s="2">
        <f>C48+C59+C109</f>
        <v>243900.66352028598</v>
      </c>
      <c r="D47" s="2">
        <f>D48+D59+D109</f>
        <v>10.342434291173547</v>
      </c>
    </row>
    <row r="48" spans="1:5" ht="47.25" customHeight="1">
      <c r="A48" s="43" t="s">
        <v>35</v>
      </c>
      <c r="B48" s="28" t="s">
        <v>46</v>
      </c>
      <c r="C48" s="4">
        <f>C58</f>
        <v>21763.546560321294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13096.629560256484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3955.1821271974582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1750.0634942459787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18801.875181699921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940.09375908499612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19741.968940784918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1184.518136447095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20926.487077232014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837.05948308928055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21763.546560321294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143629.02745477826</v>
      </c>
      <c r="D59" s="23">
        <f>D60+D71+D82+D93+D101</f>
        <v>6.0904868290063252</v>
      </c>
      <c r="G59" s="17"/>
    </row>
    <row r="60" spans="1:7">
      <c r="A60" s="43" t="s">
        <v>38</v>
      </c>
      <c r="B60" s="24" t="s">
        <v>40</v>
      </c>
      <c r="C60" s="2">
        <f>C70</f>
        <v>30753.049232228732</v>
      </c>
      <c r="D60" s="2">
        <f>D70</f>
        <v>1.3040611958445805</v>
      </c>
    </row>
    <row r="61" spans="1:7">
      <c r="A61" s="43"/>
      <c r="B61" s="24" t="s">
        <v>13</v>
      </c>
      <c r="C61" s="2">
        <f>(402940.32+0.5*298665.6)/56146.82*D11</f>
        <v>19330.260523306573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5837.738678038585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1400.0507953967829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26568.049996741942</v>
      </c>
      <c r="D64" s="2">
        <f>D61+D62+D63</f>
        <v>1.1265992776319893</v>
      </c>
    </row>
    <row r="65" spans="1:4">
      <c r="A65" s="43"/>
      <c r="B65" s="3" t="s">
        <v>9</v>
      </c>
      <c r="C65" s="2">
        <f>C64*5/100</f>
        <v>1328.4024998370971</v>
      </c>
      <c r="D65" s="2">
        <f>D64*5/100</f>
        <v>5.6329963881599464E-2</v>
      </c>
    </row>
    <row r="66" spans="1:4">
      <c r="A66" s="43"/>
      <c r="B66" s="24" t="s">
        <v>8</v>
      </c>
      <c r="C66" s="2">
        <f>C64+C65</f>
        <v>27896.452496579041</v>
      </c>
      <c r="D66" s="2">
        <f>D64+D65</f>
        <v>1.1829292415135888</v>
      </c>
    </row>
    <row r="67" spans="1:4">
      <c r="A67" s="43"/>
      <c r="B67" s="24" t="s">
        <v>10</v>
      </c>
      <c r="C67" s="2">
        <f>C66*6/100</f>
        <v>1673.7871497947426</v>
      </c>
      <c r="D67" s="2">
        <f>D66*6/100</f>
        <v>7.0975754490815335E-2</v>
      </c>
    </row>
    <row r="68" spans="1:4">
      <c r="A68" s="43"/>
      <c r="B68" s="24" t="s">
        <v>8</v>
      </c>
      <c r="C68" s="2">
        <f>C66+C67</f>
        <v>29570.239646373782</v>
      </c>
      <c r="D68" s="2">
        <f>D66+D67</f>
        <v>1.2539049960044042</v>
      </c>
    </row>
    <row r="69" spans="1:4">
      <c r="A69" s="43"/>
      <c r="B69" s="5" t="s">
        <v>11</v>
      </c>
      <c r="C69" s="2">
        <f>C68*4/100</f>
        <v>1182.8095858549514</v>
      </c>
      <c r="D69" s="2">
        <f>D68*4/100</f>
        <v>5.015619984017617E-2</v>
      </c>
    </row>
    <row r="70" spans="1:4">
      <c r="A70" s="43"/>
      <c r="B70" s="5" t="s">
        <v>8</v>
      </c>
      <c r="C70" s="2">
        <f>C68+C69</f>
        <v>30753.049232228732</v>
      </c>
      <c r="D70" s="2">
        <f>D68+D69</f>
        <v>1.3040611958445805</v>
      </c>
    </row>
    <row r="71" spans="1:4">
      <c r="A71" s="43" t="s">
        <v>39</v>
      </c>
      <c r="B71" s="24" t="s">
        <v>41</v>
      </c>
      <c r="C71" s="2">
        <f>C81</f>
        <v>12987.255246185789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8079.7785433333529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2440.0931200866726</v>
      </c>
      <c r="D73" s="2">
        <f>C73/D11/12</f>
        <v>0.10347041453104555</v>
      </c>
    </row>
    <row r="74" spans="1:4">
      <c r="A74" s="43"/>
      <c r="B74" s="24" t="s">
        <v>6</v>
      </c>
      <c r="C74" s="13">
        <f>20000/56146.82*D11</f>
        <v>700.02539769839143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11219.897061118416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560.99485305592088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11780.891914174337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706.85351485046021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12487.745429024797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499.50981716099187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12987.255246185789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78735.04497636373</v>
      </c>
      <c r="D82" s="2">
        <f>D92</f>
        <v>3.3387036235467509</v>
      </c>
    </row>
    <row r="83" spans="1:4">
      <c r="A83" s="43"/>
      <c r="B83" s="24" t="s">
        <v>13</v>
      </c>
      <c r="C83" s="2">
        <f>(1395324.48+0.3*298665.6)/56146.82*D11</f>
        <v>51974.231282797497</v>
      </c>
      <c r="D83" s="2">
        <f>C83/D11/12</f>
        <v>2.2039303383521989</v>
      </c>
    </row>
    <row r="84" spans="1:4" ht="28.5">
      <c r="A84" s="43"/>
      <c r="B84" s="27" t="s">
        <v>5</v>
      </c>
      <c r="C84" s="2">
        <f>C83*0.302</f>
        <v>15696.217847404843</v>
      </c>
      <c r="D84" s="2">
        <f>D83*0.302</f>
        <v>0.66558696218236402</v>
      </c>
    </row>
    <row r="85" spans="1:4">
      <c r="A85" s="43"/>
      <c r="B85" s="24" t="s">
        <v>6</v>
      </c>
      <c r="C85" s="13">
        <f>10000/56146.82*D11</f>
        <v>350.01269884919571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68020.461829051535</v>
      </c>
      <c r="D86" s="2">
        <f>D83+D84+D85</f>
        <v>2.8843593402677716</v>
      </c>
    </row>
    <row r="87" spans="1:4">
      <c r="A87" s="43"/>
      <c r="B87" s="3" t="s">
        <v>9</v>
      </c>
      <c r="C87" s="2">
        <f>C86*5/100</f>
        <v>3401.0230914525769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71421.48492050411</v>
      </c>
      <c r="D88" s="2">
        <f>D86+D87</f>
        <v>3.0285773072811604</v>
      </c>
    </row>
    <row r="89" spans="1:4">
      <c r="A89" s="43"/>
      <c r="B89" s="24" t="s">
        <v>10</v>
      </c>
      <c r="C89" s="2">
        <f>C88*6/100</f>
        <v>4285.2890952302469</v>
      </c>
      <c r="D89" s="2">
        <f>D88*6/100</f>
        <v>0.18171463843686961</v>
      </c>
    </row>
    <row r="90" spans="1:4">
      <c r="A90" s="43"/>
      <c r="B90" s="24" t="s">
        <v>8</v>
      </c>
      <c r="C90" s="2">
        <f>C88+C89</f>
        <v>75706.774015734351</v>
      </c>
      <c r="D90" s="2">
        <f>D88+D89</f>
        <v>3.2102919457180299</v>
      </c>
    </row>
    <row r="91" spans="1:4">
      <c r="A91" s="43"/>
      <c r="B91" s="5" t="s">
        <v>11</v>
      </c>
      <c r="C91" s="2">
        <f>C90*4/100</f>
        <v>3028.2709606293738</v>
      </c>
      <c r="D91" s="2">
        <f>D90*4/100</f>
        <v>0.1284116778287212</v>
      </c>
    </row>
    <row r="92" spans="1:4">
      <c r="A92" s="43"/>
      <c r="B92" s="5" t="s">
        <v>8</v>
      </c>
      <c r="C92" s="2">
        <f>C90+C91</f>
        <v>78735.04497636373</v>
      </c>
      <c r="D92" s="2">
        <f>D90+D91</f>
        <v>3.3387036235467509</v>
      </c>
    </row>
    <row r="93" spans="1:4" ht="31.5">
      <c r="A93" s="43" t="s">
        <v>57</v>
      </c>
      <c r="B93" s="28" t="s">
        <v>44</v>
      </c>
      <c r="C93" s="23">
        <f>C100</f>
        <v>20001.945599999999</v>
      </c>
      <c r="D93" s="23">
        <f>D100</f>
        <v>0.84816828735860306</v>
      </c>
    </row>
    <row r="94" spans="1:4">
      <c r="A94" s="43"/>
      <c r="B94" s="3" t="s">
        <v>16</v>
      </c>
      <c r="C94" s="13">
        <f>32*180*3</f>
        <v>17280</v>
      </c>
      <c r="D94" s="2">
        <f>C94/D11/12</f>
        <v>0.73274611873540241</v>
      </c>
    </row>
    <row r="95" spans="1:4">
      <c r="A95" s="43"/>
      <c r="B95" s="3" t="s">
        <v>9</v>
      </c>
      <c r="C95" s="2">
        <f>C94*5/100</f>
        <v>864</v>
      </c>
      <c r="D95" s="2">
        <f>D94*5/100</f>
        <v>3.6637305936770122E-2</v>
      </c>
    </row>
    <row r="96" spans="1:4">
      <c r="A96" s="43"/>
      <c r="B96" s="24" t="s">
        <v>8</v>
      </c>
      <c r="C96" s="2">
        <f>C94+C95</f>
        <v>18144</v>
      </c>
      <c r="D96" s="2">
        <f>D94+D95</f>
        <v>0.76938342467217258</v>
      </c>
    </row>
    <row r="97" spans="1:4">
      <c r="A97" s="43"/>
      <c r="B97" s="24" t="s">
        <v>10</v>
      </c>
      <c r="C97" s="2">
        <f>C96*6/100</f>
        <v>1088.6400000000001</v>
      </c>
      <c r="D97" s="2">
        <f>D96*6/100</f>
        <v>4.6163005480330359E-2</v>
      </c>
    </row>
    <row r="98" spans="1:4">
      <c r="A98" s="43"/>
      <c r="B98" s="24" t="s">
        <v>8</v>
      </c>
      <c r="C98" s="2">
        <f>C96+C97</f>
        <v>19232.64</v>
      </c>
      <c r="D98" s="2">
        <f>D96+D97</f>
        <v>0.81554643015250294</v>
      </c>
    </row>
    <row r="99" spans="1:4">
      <c r="A99" s="43"/>
      <c r="B99" s="5" t="s">
        <v>11</v>
      </c>
      <c r="C99" s="2">
        <f>C98*4/100</f>
        <v>769.30560000000003</v>
      </c>
      <c r="D99" s="2">
        <f>D98*4/100</f>
        <v>3.262185720610012E-2</v>
      </c>
    </row>
    <row r="100" spans="1:4">
      <c r="A100" s="43"/>
      <c r="B100" s="5" t="s">
        <v>8</v>
      </c>
      <c r="C100" s="2">
        <f>C98+C99</f>
        <v>20001.945599999999</v>
      </c>
      <c r="D100" s="2">
        <f>D98+D99</f>
        <v>0.84816828735860306</v>
      </c>
    </row>
    <row r="101" spans="1:4" ht="31.5">
      <c r="A101" s="43" t="s">
        <v>58</v>
      </c>
      <c r="B101" s="28" t="s">
        <v>88</v>
      </c>
      <c r="C101" s="13">
        <f>C108</f>
        <v>1151.7323999999999</v>
      </c>
      <c r="D101" s="13">
        <f>D108</f>
        <v>4.8838393861215849E-2</v>
      </c>
    </row>
    <row r="102" spans="1:4">
      <c r="A102" s="47"/>
      <c r="B102" s="48" t="s">
        <v>89</v>
      </c>
      <c r="C102" s="2">
        <v>995</v>
      </c>
      <c r="D102" s="49">
        <f>C102/12/D11</f>
        <v>4.2192267832275775E-2</v>
      </c>
    </row>
    <row r="103" spans="1:4">
      <c r="A103" s="47"/>
      <c r="B103" s="50" t="s">
        <v>9</v>
      </c>
      <c r="C103" s="51">
        <f>C102*5/100</f>
        <v>49.75</v>
      </c>
      <c r="D103" s="51">
        <f>D102*5/100</f>
        <v>2.1096133916137889E-3</v>
      </c>
    </row>
    <row r="104" spans="1:4">
      <c r="A104" s="47"/>
      <c r="B104" s="52" t="s">
        <v>8</v>
      </c>
      <c r="C104" s="51">
        <f>C102+C103</f>
        <v>1044.75</v>
      </c>
      <c r="D104" s="49">
        <f>D102+D103</f>
        <v>4.4301881223889561E-2</v>
      </c>
    </row>
    <row r="105" spans="1:4">
      <c r="A105" s="47"/>
      <c r="B105" s="53" t="s">
        <v>10</v>
      </c>
      <c r="C105" s="51">
        <f>C104*6/100</f>
        <v>62.685000000000002</v>
      </c>
      <c r="D105" s="51">
        <f>D104*6/100</f>
        <v>2.6581128734333736E-3</v>
      </c>
    </row>
    <row r="106" spans="1:4">
      <c r="A106" s="47"/>
      <c r="B106" s="52" t="s">
        <v>8</v>
      </c>
      <c r="C106" s="51">
        <f>C104+C105</f>
        <v>1107.4349999999999</v>
      </c>
      <c r="D106" s="49">
        <f>D104+D105</f>
        <v>4.6959994097322932E-2</v>
      </c>
    </row>
    <row r="107" spans="1:4">
      <c r="A107" s="47"/>
      <c r="B107" s="54" t="s">
        <v>11</v>
      </c>
      <c r="C107" s="51">
        <f>C106*4/100</f>
        <v>44.297399999999996</v>
      </c>
      <c r="D107" s="51">
        <f>D106*4/100</f>
        <v>1.8783997638929172E-3</v>
      </c>
    </row>
    <row r="108" spans="1:4">
      <c r="A108" s="47"/>
      <c r="B108" s="5" t="s">
        <v>8</v>
      </c>
      <c r="C108" s="2">
        <f>C106+C107</f>
        <v>1151.7323999999999</v>
      </c>
      <c r="D108" s="2">
        <f>D106+D107</f>
        <v>4.8838393861215849E-2</v>
      </c>
    </row>
    <row r="109" spans="1:4" ht="29.25">
      <c r="A109" s="37" t="s">
        <v>42</v>
      </c>
      <c r="B109" s="22" t="s">
        <v>59</v>
      </c>
      <c r="C109" s="23">
        <f>C121+C133</f>
        <v>78508.089505186435</v>
      </c>
      <c r="D109" s="23">
        <f>D121+D133</f>
        <v>3.3290797380935726</v>
      </c>
    </row>
    <row r="110" spans="1:4" ht="28.5">
      <c r="A110" s="43" t="s">
        <v>61</v>
      </c>
      <c r="B110" s="24" t="s">
        <v>60</v>
      </c>
      <c r="C110" s="25">
        <f>C121</f>
        <v>22966.825476940798</v>
      </c>
      <c r="D110" s="2">
        <f>D121</f>
        <v>0.97389191133690522</v>
      </c>
    </row>
    <row r="111" spans="1:4">
      <c r="A111" s="43"/>
      <c r="B111" s="26" t="s">
        <v>4</v>
      </c>
      <c r="C111" s="33">
        <f>147*91.16</f>
        <v>13400.519999999999</v>
      </c>
      <c r="D111" s="2">
        <f>C111/D11/12</f>
        <v>0.56823952656459098</v>
      </c>
    </row>
    <row r="112" spans="1:4" ht="28.5">
      <c r="A112" s="43"/>
      <c r="B112" s="27" t="s">
        <v>5</v>
      </c>
      <c r="C112" s="2">
        <f>C111*0.302</f>
        <v>4046.9570399999993</v>
      </c>
      <c r="D112" s="2">
        <f>C112/D11/12</f>
        <v>0.17160833702250647</v>
      </c>
    </row>
    <row r="113" spans="1:4">
      <c r="A113" s="43"/>
      <c r="B113" s="24" t="s">
        <v>6</v>
      </c>
      <c r="C113" s="33">
        <f>147*8.19</f>
        <v>1203.9299999999998</v>
      </c>
      <c r="D113" s="2">
        <f>C113/D11/12</f>
        <v>5.1051795991268099E-2</v>
      </c>
    </row>
    <row r="114" spans="1:4">
      <c r="A114" s="43"/>
      <c r="B114" s="3" t="s">
        <v>7</v>
      </c>
      <c r="C114" s="13">
        <f>238*5</f>
        <v>1190</v>
      </c>
      <c r="D114" s="2">
        <f>C114/D11/12</f>
        <v>5.0461104241616241E-2</v>
      </c>
    </row>
    <row r="115" spans="1:4">
      <c r="A115" s="43"/>
      <c r="B115" s="24" t="s">
        <v>8</v>
      </c>
      <c r="C115" s="2">
        <f>C111+C112+C113+C114</f>
        <v>19841.407039999998</v>
      </c>
      <c r="D115" s="2">
        <f>D111+D112+D113+D114</f>
        <v>0.84136076381998171</v>
      </c>
    </row>
    <row r="116" spans="1:4">
      <c r="A116" s="43"/>
      <c r="B116" s="3" t="s">
        <v>9</v>
      </c>
      <c r="C116" s="2">
        <f>C115*5/100</f>
        <v>992.07035199999984</v>
      </c>
      <c r="D116" s="2">
        <f>C116/D11/12</f>
        <v>4.2068038190999087E-2</v>
      </c>
    </row>
    <row r="117" spans="1:4">
      <c r="A117" s="43"/>
      <c r="B117" s="24" t="s">
        <v>8</v>
      </c>
      <c r="C117" s="2">
        <f>C115+C116</f>
        <v>20833.477391999997</v>
      </c>
      <c r="D117" s="2">
        <f>D115+D116</f>
        <v>0.88342880201098084</v>
      </c>
    </row>
    <row r="118" spans="1:4">
      <c r="A118" s="43"/>
      <c r="B118" s="24" t="s">
        <v>10</v>
      </c>
      <c r="C118" s="2">
        <f>C117*6/100</f>
        <v>1250.0086435199999</v>
      </c>
      <c r="D118" s="2">
        <f>C118/D11/12</f>
        <v>5.3005728120658853E-2</v>
      </c>
    </row>
    <row r="119" spans="1:4">
      <c r="A119" s="43"/>
      <c r="B119" s="24" t="s">
        <v>8</v>
      </c>
      <c r="C119" s="2">
        <f>C117+C118</f>
        <v>22083.486035519996</v>
      </c>
      <c r="D119" s="2">
        <f>D117+D118</f>
        <v>0.93643453013163969</v>
      </c>
    </row>
    <row r="120" spans="1:4">
      <c r="A120" s="43"/>
      <c r="B120" s="5" t="s">
        <v>11</v>
      </c>
      <c r="C120" s="2">
        <f>C119*4/100</f>
        <v>883.33944142079986</v>
      </c>
      <c r="D120" s="2">
        <f>C120/D11/12</f>
        <v>3.7457381205265587E-2</v>
      </c>
    </row>
    <row r="121" spans="1:4">
      <c r="A121" s="43"/>
      <c r="B121" s="5" t="s">
        <v>8</v>
      </c>
      <c r="C121" s="2">
        <f>C119+C120</f>
        <v>22966.825476940798</v>
      </c>
      <c r="D121" s="2">
        <f>D119+D120</f>
        <v>0.97389191133690522</v>
      </c>
    </row>
    <row r="122" spans="1:4" ht="30.75" customHeight="1">
      <c r="A122" s="43" t="s">
        <v>62</v>
      </c>
      <c r="B122" s="24" t="s">
        <v>63</v>
      </c>
      <c r="C122" s="2">
        <f>C133</f>
        <v>55541.264028245641</v>
      </c>
      <c r="D122" s="2">
        <f>D133</f>
        <v>2.3551878267566675</v>
      </c>
    </row>
    <row r="123" spans="1:4">
      <c r="A123" s="43"/>
      <c r="B123" s="26" t="s">
        <v>4</v>
      </c>
      <c r="C123" s="13">
        <f>1147.1*29.52</f>
        <v>33862.392</v>
      </c>
      <c r="D123" s="2">
        <f>C123/D11/12</f>
        <v>1.4359106660356906</v>
      </c>
    </row>
    <row r="124" spans="1:4" ht="28.5">
      <c r="A124" s="43"/>
      <c r="B124" s="27" t="s">
        <v>5</v>
      </c>
      <c r="C124" s="2">
        <f>C123*0.302</f>
        <v>10226.442384</v>
      </c>
      <c r="D124" s="2">
        <f>C124/D11/12</f>
        <v>0.43364502114277864</v>
      </c>
    </row>
    <row r="125" spans="1:4">
      <c r="A125" s="43"/>
      <c r="B125" s="24" t="s">
        <v>6</v>
      </c>
      <c r="C125" s="13">
        <f>1147.1*1.91</f>
        <v>2190.9609999999998</v>
      </c>
      <c r="D125" s="2">
        <f>C125/D11/12</f>
        <v>9.2906144042282146E-2</v>
      </c>
    </row>
    <row r="126" spans="1:4">
      <c r="A126" s="43"/>
      <c r="B126" s="3" t="s">
        <v>12</v>
      </c>
      <c r="C126" s="13">
        <f>(64000+12000)/51186.1*1147.1</f>
        <v>1703.1889516880558</v>
      </c>
      <c r="D126" s="2">
        <f>C126/D11/12</f>
        <v>7.2222517003613512E-2</v>
      </c>
    </row>
    <row r="127" spans="1:4">
      <c r="A127" s="43"/>
      <c r="B127" s="24" t="s">
        <v>8</v>
      </c>
      <c r="C127" s="2">
        <f>C123+C124+C125+C126</f>
        <v>47982.984335688059</v>
      </c>
      <c r="D127" s="2">
        <f>D123+D124+D125+D126</f>
        <v>2.0346843482243653</v>
      </c>
    </row>
    <row r="128" spans="1:4">
      <c r="A128" s="43"/>
      <c r="B128" s="3" t="s">
        <v>9</v>
      </c>
      <c r="C128" s="2">
        <f>C127*5/100</f>
        <v>2399.1492167844031</v>
      </c>
      <c r="D128" s="2">
        <f>C128/D11/12</f>
        <v>0.10173421741121826</v>
      </c>
    </row>
    <row r="129" spans="1:6">
      <c r="A129" s="43"/>
      <c r="B129" s="24" t="s">
        <v>8</v>
      </c>
      <c r="C129" s="2">
        <f>C127+C128</f>
        <v>50382.133552472464</v>
      </c>
      <c r="D129" s="2">
        <f>D127+D128</f>
        <v>2.1364185656355836</v>
      </c>
    </row>
    <row r="130" spans="1:6">
      <c r="A130" s="43"/>
      <c r="B130" s="24" t="s">
        <v>10</v>
      </c>
      <c r="C130" s="2">
        <f>C129*6/100</f>
        <v>3022.9280131483479</v>
      </c>
      <c r="D130" s="2">
        <f>C130/D11/12</f>
        <v>0.128185113938135</v>
      </c>
    </row>
    <row r="131" spans="1:6">
      <c r="A131" s="43"/>
      <c r="B131" s="24" t="s">
        <v>8</v>
      </c>
      <c r="C131" s="2">
        <f>C129+C130</f>
        <v>53405.06156562081</v>
      </c>
      <c r="D131" s="2">
        <f>D129+D130</f>
        <v>2.2646036795737188</v>
      </c>
    </row>
    <row r="132" spans="1:6">
      <c r="A132" s="43"/>
      <c r="B132" s="5" t="s">
        <v>11</v>
      </c>
      <c r="C132" s="2">
        <f>C131*4/100</f>
        <v>2136.2024626248326</v>
      </c>
      <c r="D132" s="2">
        <f>C132/D11/12</f>
        <v>9.0584147182948757E-2</v>
      </c>
    </row>
    <row r="133" spans="1:6">
      <c r="A133" s="43"/>
      <c r="B133" s="5" t="s">
        <v>8</v>
      </c>
      <c r="C133" s="2">
        <f>C131+C132</f>
        <v>55541.264028245641</v>
      </c>
      <c r="D133" s="2">
        <f>D131+D132</f>
        <v>2.3551878267566675</v>
      </c>
    </row>
    <row r="134" spans="1:6" ht="44.25" customHeight="1">
      <c r="A134" s="42" t="s">
        <v>64</v>
      </c>
      <c r="B134" s="5" t="s">
        <v>65</v>
      </c>
      <c r="C134" s="4">
        <f>C138+C146+C142</f>
        <v>558.79882239999995</v>
      </c>
      <c r="D134" s="4">
        <f>D138+D146+D142</f>
        <v>2.3695466913629247E-2</v>
      </c>
      <c r="F134" s="17"/>
    </row>
    <row r="135" spans="1:6">
      <c r="A135" s="43" t="s">
        <v>35</v>
      </c>
      <c r="B135" s="5" t="s">
        <v>118</v>
      </c>
      <c r="C135" s="46"/>
      <c r="D135" s="4"/>
    </row>
    <row r="136" spans="1:6">
      <c r="A136" s="43"/>
      <c r="B136" s="24" t="s">
        <v>10</v>
      </c>
      <c r="C136" s="2">
        <f>1288.436/100</f>
        <v>12.884359999999999</v>
      </c>
      <c r="D136" s="2">
        <f>C136/12/D11</f>
        <v>5.4635212861051314E-4</v>
      </c>
    </row>
    <row r="137" spans="1:6">
      <c r="A137" s="43"/>
      <c r="B137" s="5" t="s">
        <v>11</v>
      </c>
      <c r="C137" s="2">
        <f>(1288.43+C136)*4/100</f>
        <v>52.052574400000005</v>
      </c>
      <c r="D137" s="2">
        <f>C137/12/D11</f>
        <v>2.2072524225570469E-3</v>
      </c>
    </row>
    <row r="138" spans="1:6">
      <c r="A138" s="43"/>
      <c r="B138" s="5" t="s">
        <v>8</v>
      </c>
      <c r="C138" s="2">
        <f>C136+C137</f>
        <v>64.936934399999998</v>
      </c>
      <c r="D138" s="2">
        <f>D136+D137</f>
        <v>2.7536045511675602E-3</v>
      </c>
    </row>
    <row r="139" spans="1:6">
      <c r="A139" s="55" t="s">
        <v>36</v>
      </c>
      <c r="B139" s="5" t="s">
        <v>119</v>
      </c>
      <c r="C139" s="46"/>
      <c r="D139" s="4"/>
    </row>
    <row r="140" spans="1:6">
      <c r="A140" s="55"/>
      <c r="B140" s="24" t="s">
        <v>10</v>
      </c>
      <c r="C140" s="2">
        <f>1140.96*6/100</f>
        <v>68.457599999999999</v>
      </c>
      <c r="D140" s="2">
        <f>C140/12/D11</f>
        <v>2.9028958737234187E-3</v>
      </c>
    </row>
    <row r="141" spans="1:6">
      <c r="A141" s="55"/>
      <c r="B141" s="5" t="s">
        <v>11</v>
      </c>
      <c r="C141" s="2">
        <f>(1140.96+C140)*4/100</f>
        <v>48.376703999999997</v>
      </c>
      <c r="D141" s="2">
        <f>C141/12/D11</f>
        <v>2.0513797507645489E-3</v>
      </c>
    </row>
    <row r="142" spans="1:6">
      <c r="A142" s="55"/>
      <c r="B142" s="5" t="s">
        <v>8</v>
      </c>
      <c r="C142" s="2">
        <f>C140+C141</f>
        <v>116.834304</v>
      </c>
      <c r="D142" s="2">
        <f>D140+D141</f>
        <v>4.9542756244879676E-3</v>
      </c>
    </row>
    <row r="143" spans="1:6">
      <c r="A143" s="43" t="s">
        <v>42</v>
      </c>
      <c r="B143" s="5" t="s">
        <v>120</v>
      </c>
      <c r="C143" s="46"/>
      <c r="D143" s="4"/>
    </row>
    <row r="144" spans="1:6">
      <c r="A144" s="43"/>
      <c r="B144" s="24" t="s">
        <v>10</v>
      </c>
      <c r="C144" s="2">
        <f>3681.91*6/100</f>
        <v>220.91459999999998</v>
      </c>
      <c r="D144" s="2">
        <f>C144/12/D11</f>
        <v>9.3677266042814754E-3</v>
      </c>
    </row>
    <row r="145" spans="1:5">
      <c r="A145" s="43"/>
      <c r="B145" s="5" t="s">
        <v>11</v>
      </c>
      <c r="C145" s="2">
        <f>(3681.91+C144)*4/100</f>
        <v>156.11298399999998</v>
      </c>
      <c r="D145" s="2">
        <f>C145/12/D11</f>
        <v>6.6198601336922422E-3</v>
      </c>
    </row>
    <row r="146" spans="1:5">
      <c r="A146" s="43"/>
      <c r="B146" s="5" t="s">
        <v>8</v>
      </c>
      <c r="C146" s="2">
        <f>C144+C145</f>
        <v>377.02758399999993</v>
      </c>
      <c r="D146" s="2">
        <f>D144+D145</f>
        <v>1.5987586737973718E-2</v>
      </c>
    </row>
    <row r="147" spans="1:5">
      <c r="A147" s="43"/>
      <c r="B147" s="6" t="s">
        <v>30</v>
      </c>
      <c r="C147" s="2">
        <f>C12+C47+C134</f>
        <v>434831.86193265236</v>
      </c>
      <c r="D147" s="2">
        <f>D12+D47+D134</f>
        <v>18.438736060974502</v>
      </c>
      <c r="E147" s="17"/>
    </row>
    <row r="148" spans="1:5" ht="28.5">
      <c r="A148" s="42" t="s">
        <v>66</v>
      </c>
      <c r="B148" s="24" t="s">
        <v>67</v>
      </c>
      <c r="C148" s="2">
        <v>62237</v>
      </c>
      <c r="D148" s="29">
        <v>2.64</v>
      </c>
    </row>
    <row r="149" spans="1:5" hidden="1">
      <c r="A149" s="43"/>
      <c r="B149" s="6" t="s">
        <v>30</v>
      </c>
      <c r="C149" s="7"/>
      <c r="D149" s="7"/>
    </row>
    <row r="150" spans="1:5" hidden="1">
      <c r="A150" s="42" t="s">
        <v>72</v>
      </c>
      <c r="B150" s="3" t="s">
        <v>73</v>
      </c>
      <c r="C150" s="2">
        <v>0</v>
      </c>
      <c r="D150" s="2">
        <v>0</v>
      </c>
    </row>
    <row r="151" spans="1:5">
      <c r="A151" s="43"/>
      <c r="B151" s="41" t="s">
        <v>71</v>
      </c>
      <c r="C151" s="2">
        <f>C147+C148</f>
        <v>497068.86193265236</v>
      </c>
      <c r="D151" s="2">
        <f>D147+D148</f>
        <v>21.078736060974503</v>
      </c>
    </row>
    <row r="152" spans="1:5">
      <c r="B152" s="8"/>
      <c r="C152" s="15"/>
      <c r="D152" s="8"/>
    </row>
    <row r="153" spans="1:5">
      <c r="B153" s="9" t="s">
        <v>75</v>
      </c>
      <c r="C153" s="16"/>
      <c r="D153" s="10"/>
    </row>
    <row r="154" spans="1:5" ht="15.75">
      <c r="B154" s="30" t="s">
        <v>47</v>
      </c>
      <c r="C154" s="31"/>
      <c r="D154" s="30"/>
    </row>
    <row r="155" spans="1:5" ht="15.75">
      <c r="B155" s="30"/>
      <c r="C155" s="31"/>
      <c r="D155" s="30"/>
    </row>
    <row r="156" spans="1:5">
      <c r="B156" s="72" t="s">
        <v>99</v>
      </c>
      <c r="C156" s="72"/>
      <c r="D156" s="72"/>
    </row>
    <row r="157" spans="1:5" ht="15.75">
      <c r="B157" s="30"/>
      <c r="C157" s="31"/>
      <c r="D157" s="30"/>
    </row>
  </sheetData>
  <mergeCells count="11">
    <mergeCell ref="A9:A10"/>
    <mergeCell ref="B9:B10"/>
    <mergeCell ref="C9:C10"/>
    <mergeCell ref="D9:D10"/>
    <mergeCell ref="B156:D156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workbookViewId="0">
      <selection activeCell="D147" sqref="D147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79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2969.48</v>
      </c>
    </row>
    <row r="12" spans="1:6">
      <c r="A12" s="42" t="s">
        <v>51</v>
      </c>
      <c r="B12" s="24" t="s">
        <v>52</v>
      </c>
      <c r="C12" s="2">
        <f>C13+C24+C43</f>
        <v>302212.09845835326</v>
      </c>
      <c r="D12" s="2">
        <f>D13+D24+D43</f>
        <v>8.4810611750865821</v>
      </c>
    </row>
    <row r="13" spans="1:6">
      <c r="A13" s="43" t="s">
        <v>35</v>
      </c>
      <c r="B13" s="24" t="s">
        <v>70</v>
      </c>
      <c r="C13" s="2">
        <f>C23</f>
        <v>194670.55976837449</v>
      </c>
      <c r="D13" s="2">
        <f>D23</f>
        <v>5.4630934195093221</v>
      </c>
      <c r="F13" s="17"/>
    </row>
    <row r="14" spans="1:6">
      <c r="A14" s="43"/>
      <c r="B14" s="24" t="s">
        <v>13</v>
      </c>
      <c r="C14" s="2">
        <f>(2363756.52+40177.8)/56146.82*D11</f>
        <v>127138.72102736362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C14*0.302</f>
        <v>38395.893750263807</v>
      </c>
      <c r="D15" s="2">
        <f>D14*0.302</f>
        <v>1.0775145185426351</v>
      </c>
    </row>
    <row r="16" spans="1:6">
      <c r="A16" s="43"/>
      <c r="B16" s="24" t="s">
        <v>6</v>
      </c>
      <c r="C16" s="14">
        <f>50000/56146.82*D11</f>
        <v>2644.3884088181662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168179.0031864456</v>
      </c>
      <c r="D17" s="2">
        <f>D14+D15+D16</f>
        <v>4.7196535865551548</v>
      </c>
    </row>
    <row r="18" spans="1:4">
      <c r="A18" s="43"/>
      <c r="B18" s="3" t="s">
        <v>9</v>
      </c>
      <c r="C18" s="2">
        <f>C17*5/100</f>
        <v>8408.9501593222794</v>
      </c>
      <c r="D18" s="2">
        <f>D17*5/100</f>
        <v>0.23598267932775774</v>
      </c>
    </row>
    <row r="19" spans="1:4">
      <c r="A19" s="43"/>
      <c r="B19" s="24" t="s">
        <v>8</v>
      </c>
      <c r="C19" s="2">
        <f>C17+C18</f>
        <v>176587.95334576786</v>
      </c>
      <c r="D19" s="2">
        <f>D17+D18</f>
        <v>4.9556362658829123</v>
      </c>
    </row>
    <row r="20" spans="1:4">
      <c r="A20" s="43"/>
      <c r="B20" s="24" t="s">
        <v>10</v>
      </c>
      <c r="C20" s="2">
        <f>C19*6/100</f>
        <v>10595.27720074607</v>
      </c>
      <c r="D20" s="2">
        <f>D19*6/100</f>
        <v>0.29733817595297474</v>
      </c>
    </row>
    <row r="21" spans="1:4">
      <c r="A21" s="43"/>
      <c r="B21" s="24" t="s">
        <v>8</v>
      </c>
      <c r="C21" s="2">
        <f>C19+C20</f>
        <v>187183.23054651392</v>
      </c>
      <c r="D21" s="2">
        <f>D19+D20</f>
        <v>5.252974441835887</v>
      </c>
    </row>
    <row r="22" spans="1:4">
      <c r="A22" s="43"/>
      <c r="B22" s="5" t="s">
        <v>11</v>
      </c>
      <c r="C22" s="2">
        <f>C21*4/100</f>
        <v>7487.3292218605566</v>
      </c>
      <c r="D22" s="2">
        <f>D21*4/100</f>
        <v>0.21011897767343549</v>
      </c>
    </row>
    <row r="23" spans="1:4">
      <c r="A23" s="43"/>
      <c r="B23" s="5" t="s">
        <v>8</v>
      </c>
      <c r="C23" s="2">
        <f>C21+C22</f>
        <v>194670.55976837449</v>
      </c>
      <c r="D23" s="2">
        <f>D21+D22</f>
        <v>5.4630934195093221</v>
      </c>
    </row>
    <row r="24" spans="1:4">
      <c r="A24" s="43" t="s">
        <v>36</v>
      </c>
      <c r="B24" s="24" t="s">
        <v>69</v>
      </c>
      <c r="C24" s="2">
        <f>C42</f>
        <v>72871.978689978772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846.20429082181317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18087.616716316261</v>
      </c>
      <c r="D26" s="2">
        <f>C26/D11/12</f>
        <v>0.50759775887574765</v>
      </c>
    </row>
    <row r="27" spans="1:4">
      <c r="A27" s="43"/>
      <c r="B27" s="3" t="s">
        <v>19</v>
      </c>
      <c r="C27" s="2">
        <f>26500*12/56146.82*D11</f>
        <v>16818.310280083537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2379.9495679363495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2973.429658527411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4240.0319431732732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4960.8726549428802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370.21437723454329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5979.7026210923432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4474.3051877203379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1824.6280020845347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62955.265299933286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3147.7632649966645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66103.028564929948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3966.1817138957967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70069.210278825747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2802.7684111530298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72871.978689978772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34669.56</v>
      </c>
      <c r="D43" s="2">
        <f>D46</f>
        <v>0.97294139041178929</v>
      </c>
    </row>
    <row r="44" spans="1:5">
      <c r="A44" s="43"/>
      <c r="B44" s="5" t="s">
        <v>28</v>
      </c>
      <c r="C44" s="46">
        <v>32532.84</v>
      </c>
      <c r="D44" s="4">
        <f>C44/12/D11</f>
        <v>0.91297802982340348</v>
      </c>
    </row>
    <row r="45" spans="1:5" ht="19.5" customHeight="1">
      <c r="A45" s="43"/>
      <c r="B45" s="5" t="s">
        <v>29</v>
      </c>
      <c r="C45" s="46">
        <v>2136.7199999999998</v>
      </c>
      <c r="D45" s="4">
        <f>C45/12/D11</f>
        <v>5.9963360588385833E-2</v>
      </c>
    </row>
    <row r="46" spans="1:5">
      <c r="A46" s="43"/>
      <c r="B46" s="5" t="s">
        <v>8</v>
      </c>
      <c r="C46" s="4">
        <f>C44+C45</f>
        <v>34669.56</v>
      </c>
      <c r="D46" s="4">
        <f>D44+D45</f>
        <v>0.97294139041178929</v>
      </c>
      <c r="E46" s="45"/>
    </row>
    <row r="47" spans="1:5">
      <c r="A47" s="42" t="s">
        <v>54</v>
      </c>
      <c r="B47" s="5" t="s">
        <v>55</v>
      </c>
      <c r="C47" s="2">
        <f>C48+C59+C110</f>
        <v>433465.80849592114</v>
      </c>
      <c r="D47" s="2">
        <f>D48+D59+D110</f>
        <v>12.164470111936577</v>
      </c>
    </row>
    <row r="48" spans="1:5" ht="47.25" customHeight="1">
      <c r="A48" s="43" t="s">
        <v>35</v>
      </c>
      <c r="B48" s="28" t="s">
        <v>46</v>
      </c>
      <c r="C48" s="4">
        <f>C58</f>
        <v>32885.246991386601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19789.325083116015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5976.3761751010361</v>
      </c>
      <c r="D50" s="2">
        <f>C50/D11/12</f>
        <v>0.16771668707150286</v>
      </c>
    </row>
    <row r="51" spans="1:7">
      <c r="A51" s="43"/>
      <c r="B51" s="24" t="s">
        <v>6</v>
      </c>
      <c r="C51" s="13">
        <f>50000/56146.82*D11</f>
        <v>2644.3884088181662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28410.089667035216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1420.5044833517607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29830.594150386976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1789.8356490232184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31620.429799410194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1264.8171919764077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32885.246991386601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C60+C72+C83+C94+C102</f>
        <v>248785.85867098894</v>
      </c>
      <c r="D59" s="23">
        <f>D60+D72+D83+D94+D102</f>
        <v>6.9817459249596139</v>
      </c>
      <c r="G59" s="17"/>
    </row>
    <row r="60" spans="1:7">
      <c r="A60" s="43" t="s">
        <v>38</v>
      </c>
      <c r="B60" s="24" t="s">
        <v>40</v>
      </c>
      <c r="C60" s="2">
        <f>C71</f>
        <v>52256.203678038772</v>
      </c>
      <c r="D60" s="2">
        <f>D71</f>
        <v>1.4664802052334294</v>
      </c>
    </row>
    <row r="61" spans="1:7">
      <c r="A61" s="43"/>
      <c r="B61" s="24" t="s">
        <v>13</v>
      </c>
      <c r="C61" s="2">
        <f>(402940.32+0.5*298665.6)/56146.82*D11</f>
        <v>29208.492740596885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8820.9648076602589</v>
      </c>
      <c r="D62" s="2">
        <f>C62/D11/12</f>
        <v>0.24754515963682358</v>
      </c>
    </row>
    <row r="63" spans="1:7">
      <c r="A63" s="43"/>
      <c r="B63" s="24" t="s">
        <v>6</v>
      </c>
      <c r="C63" s="13">
        <f>40000/56146.82*D11</f>
        <v>2115.5107270545332</v>
      </c>
      <c r="D63" s="2">
        <f>C63/D11/12</f>
        <v>5.9368158932835972E-2</v>
      </c>
    </row>
    <row r="64" spans="1:7">
      <c r="A64" s="55"/>
      <c r="B64" s="24" t="s">
        <v>90</v>
      </c>
      <c r="C64" s="13">
        <v>5000</v>
      </c>
      <c r="D64" s="2">
        <f>C64/D11/12</f>
        <v>0.14031637413508988</v>
      </c>
    </row>
    <row r="65" spans="1:4">
      <c r="A65" s="43"/>
      <c r="B65" s="24" t="s">
        <v>8</v>
      </c>
      <c r="C65" s="2">
        <f>C61+C62+C63+C64</f>
        <v>45144.968275311679</v>
      </c>
      <c r="D65" s="2">
        <f>D61+D62+D63+D64</f>
        <v>1.2669156517670792</v>
      </c>
    </row>
    <row r="66" spans="1:4">
      <c r="A66" s="43"/>
      <c r="B66" s="3" t="s">
        <v>9</v>
      </c>
      <c r="C66" s="2">
        <f>C65*5/100</f>
        <v>2257.2484137655842</v>
      </c>
      <c r="D66" s="2">
        <f>D65*5/100</f>
        <v>6.3345782588353966E-2</v>
      </c>
    </row>
    <row r="67" spans="1:4">
      <c r="A67" s="43"/>
      <c r="B67" s="24" t="s">
        <v>8</v>
      </c>
      <c r="C67" s="2">
        <f>C65+C66</f>
        <v>47402.216689077264</v>
      </c>
      <c r="D67" s="2">
        <f>D65+D66</f>
        <v>1.3302614343554331</v>
      </c>
    </row>
    <row r="68" spans="1:4">
      <c r="A68" s="43"/>
      <c r="B68" s="24" t="s">
        <v>10</v>
      </c>
      <c r="C68" s="2">
        <f>C67*6/100</f>
        <v>2844.1330013446359</v>
      </c>
      <c r="D68" s="2">
        <f>D67*6/100</f>
        <v>7.9815686061325983E-2</v>
      </c>
    </row>
    <row r="69" spans="1:4">
      <c r="A69" s="43"/>
      <c r="B69" s="24" t="s">
        <v>8</v>
      </c>
      <c r="C69" s="2">
        <f>C67+C68</f>
        <v>50246.349690421899</v>
      </c>
      <c r="D69" s="2">
        <f>D67+D68</f>
        <v>1.410077120416759</v>
      </c>
    </row>
    <row r="70" spans="1:4">
      <c r="A70" s="43"/>
      <c r="B70" s="5" t="s">
        <v>11</v>
      </c>
      <c r="C70" s="2">
        <f>C69*4/100</f>
        <v>2009.8539876168759</v>
      </c>
      <c r="D70" s="2">
        <f>D69*4/100</f>
        <v>5.6403084816670362E-2</v>
      </c>
    </row>
    <row r="71" spans="1:4">
      <c r="A71" s="43"/>
      <c r="B71" s="5" t="s">
        <v>8</v>
      </c>
      <c r="C71" s="2">
        <f>C69+C70</f>
        <v>52256.203678038772</v>
      </c>
      <c r="D71" s="2">
        <f>D69+D70</f>
        <v>1.4664802052334294</v>
      </c>
    </row>
    <row r="72" spans="1:4">
      <c r="A72" s="43" t="s">
        <v>39</v>
      </c>
      <c r="B72" s="24" t="s">
        <v>41</v>
      </c>
      <c r="C72" s="2">
        <f>C82</f>
        <v>19624.057840354864</v>
      </c>
      <c r="D72" s="2">
        <f>D82</f>
        <v>0.55071532839517534</v>
      </c>
    </row>
    <row r="73" spans="1:4">
      <c r="A73" s="43"/>
      <c r="B73" s="24" t="s">
        <v>13</v>
      </c>
      <c r="C73" s="2">
        <f>(171109.32+0.2*298665.6)/56146.82*D11</f>
        <v>12208.741451986061</v>
      </c>
      <c r="D73" s="2">
        <f>C73/D11/12</f>
        <v>0.34261726665909126</v>
      </c>
    </row>
    <row r="74" spans="1:4" ht="28.5">
      <c r="A74" s="43"/>
      <c r="B74" s="27" t="s">
        <v>5</v>
      </c>
      <c r="C74" s="2">
        <f>C73*0.302</f>
        <v>3687.0399184997905</v>
      </c>
      <c r="D74" s="2">
        <f>C74/D11/12</f>
        <v>0.10347041453104557</v>
      </c>
    </row>
    <row r="75" spans="1:4">
      <c r="A75" s="43"/>
      <c r="B75" s="24" t="s">
        <v>6</v>
      </c>
      <c r="C75" s="13">
        <f>20000/56146.82*D11</f>
        <v>1057.7553635272666</v>
      </c>
      <c r="D75" s="2">
        <f>C75/D11/12</f>
        <v>2.9684079466417986E-2</v>
      </c>
    </row>
    <row r="76" spans="1:4">
      <c r="A76" s="43"/>
      <c r="B76" s="24" t="s">
        <v>8</v>
      </c>
      <c r="C76" s="2">
        <f>C73+C74+C75</f>
        <v>16953.53673401312</v>
      </c>
      <c r="D76" s="2">
        <f>D73+D74+D75</f>
        <v>0.4757717606565548</v>
      </c>
    </row>
    <row r="77" spans="1:4">
      <c r="A77" s="43"/>
      <c r="B77" s="3" t="s">
        <v>9</v>
      </c>
      <c r="C77" s="2">
        <f>C76*5/100</f>
        <v>847.67683670065594</v>
      </c>
      <c r="D77" s="2">
        <f>D76*5/100</f>
        <v>2.3788588032827736E-2</v>
      </c>
    </row>
    <row r="78" spans="1:4">
      <c r="A78" s="43"/>
      <c r="B78" s="24" t="s">
        <v>8</v>
      </c>
      <c r="C78" s="2">
        <f>C76+C77</f>
        <v>17801.213570713775</v>
      </c>
      <c r="D78" s="2">
        <f>D76+D77</f>
        <v>0.49956034868938254</v>
      </c>
    </row>
    <row r="79" spans="1:4">
      <c r="A79" s="43"/>
      <c r="B79" s="24" t="s">
        <v>10</v>
      </c>
      <c r="C79" s="2">
        <f>C78*6/100</f>
        <v>1068.0728142428263</v>
      </c>
      <c r="D79" s="2">
        <f>D78*6/100</f>
        <v>2.9973620921362954E-2</v>
      </c>
    </row>
    <row r="80" spans="1:4">
      <c r="A80" s="43"/>
      <c r="B80" s="24" t="s">
        <v>8</v>
      </c>
      <c r="C80" s="2">
        <f>C78+C79</f>
        <v>18869.286384956602</v>
      </c>
      <c r="D80" s="2">
        <f>D78+D79</f>
        <v>0.5295339696107455</v>
      </c>
    </row>
    <row r="81" spans="1:4">
      <c r="A81" s="43"/>
      <c r="B81" s="5" t="s">
        <v>11</v>
      </c>
      <c r="C81" s="2">
        <f>C80*4/100</f>
        <v>754.77145539826404</v>
      </c>
      <c r="D81" s="2">
        <f>D80*4/100</f>
        <v>2.1181358784429821E-2</v>
      </c>
    </row>
    <row r="82" spans="1:4">
      <c r="A82" s="43"/>
      <c r="B82" s="5" t="s">
        <v>8</v>
      </c>
      <c r="C82" s="2">
        <f>C80+C81</f>
        <v>19624.057840354864</v>
      </c>
      <c r="D82" s="2">
        <f>D80+D81</f>
        <v>0.55071532839517534</v>
      </c>
    </row>
    <row r="83" spans="1:4" ht="30.75" customHeight="1">
      <c r="A83" s="43" t="s">
        <v>56</v>
      </c>
      <c r="B83" s="28" t="s">
        <v>43</v>
      </c>
      <c r="C83" s="2">
        <f>C93</f>
        <v>118970.56363259529</v>
      </c>
      <c r="D83" s="2">
        <f>D93</f>
        <v>3.3387036235467509</v>
      </c>
    </row>
    <row r="84" spans="1:4">
      <c r="A84" s="43"/>
      <c r="B84" s="24" t="s">
        <v>13</v>
      </c>
      <c r="C84" s="2">
        <f>(1395324.48+0.3*298665.6)/56146.82*D11</f>
        <v>78534.32473356105</v>
      </c>
      <c r="D84" s="2">
        <f>C84/D11/12</f>
        <v>2.2039303383521989</v>
      </c>
    </row>
    <row r="85" spans="1:4" ht="28.5">
      <c r="A85" s="43"/>
      <c r="B85" s="27" t="s">
        <v>5</v>
      </c>
      <c r="C85" s="2">
        <f>C84*0.302</f>
        <v>23717.366069535437</v>
      </c>
      <c r="D85" s="2">
        <f>D84*0.302</f>
        <v>0.66558696218236402</v>
      </c>
    </row>
    <row r="86" spans="1:4">
      <c r="A86" s="43"/>
      <c r="B86" s="24" t="s">
        <v>6</v>
      </c>
      <c r="C86" s="13">
        <f>10000/56146.82*D11</f>
        <v>528.87768176363329</v>
      </c>
      <c r="D86" s="2">
        <f>C86/D11/12</f>
        <v>1.4842039733208993E-2</v>
      </c>
    </row>
    <row r="87" spans="1:4">
      <c r="A87" s="43"/>
      <c r="B87" s="24" t="s">
        <v>15</v>
      </c>
      <c r="C87" s="2">
        <f>C84+C85+C86</f>
        <v>102780.56848486012</v>
      </c>
      <c r="D87" s="2">
        <f>D84+D85+D86</f>
        <v>2.8843593402677716</v>
      </c>
    </row>
    <row r="88" spans="1:4">
      <c r="A88" s="43"/>
      <c r="B88" s="3" t="s">
        <v>9</v>
      </c>
      <c r="C88" s="2">
        <f>C87*5/100</f>
        <v>5139.0284242430062</v>
      </c>
      <c r="D88" s="2">
        <f>D87*5/100</f>
        <v>0.14421796701338857</v>
      </c>
    </row>
    <row r="89" spans="1:4">
      <c r="A89" s="43"/>
      <c r="B89" s="24" t="s">
        <v>8</v>
      </c>
      <c r="C89" s="2">
        <f>C87+C88</f>
        <v>107919.59690910313</v>
      </c>
      <c r="D89" s="2">
        <f>D87+D88</f>
        <v>3.0285773072811604</v>
      </c>
    </row>
    <row r="90" spans="1:4">
      <c r="A90" s="43"/>
      <c r="B90" s="24" t="s">
        <v>10</v>
      </c>
      <c r="C90" s="2">
        <f>C89*6/100</f>
        <v>6475.1758145461881</v>
      </c>
      <c r="D90" s="2">
        <f>D89*6/100</f>
        <v>0.18171463843686961</v>
      </c>
    </row>
    <row r="91" spans="1:4">
      <c r="A91" s="43"/>
      <c r="B91" s="24" t="s">
        <v>8</v>
      </c>
      <c r="C91" s="2">
        <f>C89+C90</f>
        <v>114394.77272364932</v>
      </c>
      <c r="D91" s="2">
        <f>D89+D90</f>
        <v>3.2102919457180299</v>
      </c>
    </row>
    <row r="92" spans="1:4">
      <c r="A92" s="43"/>
      <c r="B92" s="5" t="s">
        <v>11</v>
      </c>
      <c r="C92" s="2">
        <f>C91*4/100</f>
        <v>4575.7909089459727</v>
      </c>
      <c r="D92" s="2">
        <f>D91*4/100</f>
        <v>0.1284116778287212</v>
      </c>
    </row>
    <row r="93" spans="1:4">
      <c r="A93" s="43"/>
      <c r="B93" s="5" t="s">
        <v>8</v>
      </c>
      <c r="C93" s="2">
        <f>C91+C92</f>
        <v>118970.56363259529</v>
      </c>
      <c r="D93" s="2">
        <f>D91+D92</f>
        <v>3.3387036235467509</v>
      </c>
    </row>
    <row r="94" spans="1:4" ht="31.5">
      <c r="A94" s="43" t="s">
        <v>57</v>
      </c>
      <c r="B94" s="28" t="s">
        <v>44</v>
      </c>
      <c r="C94" s="23">
        <f>C101</f>
        <v>56255.472000000002</v>
      </c>
      <c r="D94" s="23">
        <f>D101</f>
        <v>1.5787127712596145</v>
      </c>
    </row>
    <row r="95" spans="1:4">
      <c r="A95" s="43"/>
      <c r="B95" s="3" t="s">
        <v>16</v>
      </c>
      <c r="C95" s="13">
        <f>90*180*3</f>
        <v>48600</v>
      </c>
      <c r="D95" s="2">
        <f>C95/D11/12</f>
        <v>1.3638751565930736</v>
      </c>
    </row>
    <row r="96" spans="1:4">
      <c r="A96" s="43"/>
      <c r="B96" s="3" t="s">
        <v>9</v>
      </c>
      <c r="C96" s="2">
        <f>C95*5/100</f>
        <v>2430</v>
      </c>
      <c r="D96" s="2">
        <f>D95*5/100</f>
        <v>6.8193757829653687E-2</v>
      </c>
    </row>
    <row r="97" spans="1:4">
      <c r="A97" s="43"/>
      <c r="B97" s="24" t="s">
        <v>8</v>
      </c>
      <c r="C97" s="2">
        <f>C95+C96</f>
        <v>51030</v>
      </c>
      <c r="D97" s="2">
        <f>D95+D96</f>
        <v>1.4320689144227272</v>
      </c>
    </row>
    <row r="98" spans="1:4">
      <c r="A98" s="43"/>
      <c r="B98" s="24" t="s">
        <v>10</v>
      </c>
      <c r="C98" s="2">
        <f>C97*6/100</f>
        <v>3061.8</v>
      </c>
      <c r="D98" s="2">
        <f>D97*6/100</f>
        <v>8.5924134865363641E-2</v>
      </c>
    </row>
    <row r="99" spans="1:4">
      <c r="A99" s="43"/>
      <c r="B99" s="24" t="s">
        <v>8</v>
      </c>
      <c r="C99" s="2">
        <f>C97+C98</f>
        <v>54091.8</v>
      </c>
      <c r="D99" s="2">
        <f>D97+D98</f>
        <v>1.5179930492880909</v>
      </c>
    </row>
    <row r="100" spans="1:4">
      <c r="A100" s="43"/>
      <c r="B100" s="5" t="s">
        <v>11</v>
      </c>
      <c r="C100" s="2">
        <f>C99*4/100</f>
        <v>2163.672</v>
      </c>
      <c r="D100" s="2">
        <f>D99*4/100</f>
        <v>6.0719721971523637E-2</v>
      </c>
    </row>
    <row r="101" spans="1:4">
      <c r="A101" s="43"/>
      <c r="B101" s="5" t="s">
        <v>8</v>
      </c>
      <c r="C101" s="2">
        <f>C99+C100</f>
        <v>56255.472000000002</v>
      </c>
      <c r="D101" s="2">
        <f>D99+D100</f>
        <v>1.5787127712596145</v>
      </c>
    </row>
    <row r="102" spans="1:4" ht="31.5">
      <c r="A102" s="43" t="s">
        <v>58</v>
      </c>
      <c r="B102" s="28" t="s">
        <v>88</v>
      </c>
      <c r="C102" s="13">
        <f>C109</f>
        <v>1679.56152</v>
      </c>
      <c r="D102" s="13">
        <f>D109</f>
        <v>4.7133996524644041E-2</v>
      </c>
    </row>
    <row r="103" spans="1:4">
      <c r="A103" s="47"/>
      <c r="B103" s="48" t="s">
        <v>89</v>
      </c>
      <c r="C103" s="2">
        <v>1451</v>
      </c>
      <c r="D103" s="49">
        <f>C103/12/D11</f>
        <v>4.0719811774003078E-2</v>
      </c>
    </row>
    <row r="104" spans="1:4">
      <c r="A104" s="47"/>
      <c r="B104" s="50" t="s">
        <v>9</v>
      </c>
      <c r="C104" s="51">
        <f>C103*5/100</f>
        <v>72.55</v>
      </c>
      <c r="D104" s="51">
        <f>D103*5/100</f>
        <v>2.0359905887001538E-3</v>
      </c>
    </row>
    <row r="105" spans="1:4">
      <c r="A105" s="47"/>
      <c r="B105" s="52" t="s">
        <v>8</v>
      </c>
      <c r="C105" s="51">
        <f>C103+C104</f>
        <v>1523.55</v>
      </c>
      <c r="D105" s="49">
        <f>D103+D104</f>
        <v>4.2755802362703231E-2</v>
      </c>
    </row>
    <row r="106" spans="1:4">
      <c r="A106" s="47"/>
      <c r="B106" s="53" t="s">
        <v>10</v>
      </c>
      <c r="C106" s="51">
        <f>C105*6/100</f>
        <v>91.412999999999997</v>
      </c>
      <c r="D106" s="51">
        <f>D105*6/100</f>
        <v>2.5653481417621938E-3</v>
      </c>
    </row>
    <row r="107" spans="1:4">
      <c r="A107" s="47"/>
      <c r="B107" s="52" t="s">
        <v>8</v>
      </c>
      <c r="C107" s="51">
        <f>C105+C106</f>
        <v>1614.963</v>
      </c>
      <c r="D107" s="49">
        <f>D105+D106</f>
        <v>4.5321150504465425E-2</v>
      </c>
    </row>
    <row r="108" spans="1:4">
      <c r="A108" s="47"/>
      <c r="B108" s="54" t="s">
        <v>11</v>
      </c>
      <c r="C108" s="51">
        <f>C107*4/100</f>
        <v>64.598519999999994</v>
      </c>
      <c r="D108" s="51">
        <f>D107*4/100</f>
        <v>1.8128460201786169E-3</v>
      </c>
    </row>
    <row r="109" spans="1:4">
      <c r="A109" s="47"/>
      <c r="B109" s="5" t="s">
        <v>8</v>
      </c>
      <c r="C109" s="2">
        <f>C107+C108</f>
        <v>1679.56152</v>
      </c>
      <c r="D109" s="2">
        <f>D107+D108</f>
        <v>4.7133996524644041E-2</v>
      </c>
    </row>
    <row r="110" spans="1:4" ht="29.25">
      <c r="A110" s="37" t="s">
        <v>42</v>
      </c>
      <c r="B110" s="22" t="s">
        <v>59</v>
      </c>
      <c r="C110" s="23">
        <f>C122+C134</f>
        <v>151794.70283354563</v>
      </c>
      <c r="D110" s="23">
        <f>D122+D134</f>
        <v>4.2598564629033149</v>
      </c>
    </row>
    <row r="111" spans="1:4" ht="28.5">
      <c r="A111" s="43" t="s">
        <v>61</v>
      </c>
      <c r="B111" s="24" t="s">
        <v>60</v>
      </c>
      <c r="C111" s="25">
        <f>C122</f>
        <v>73666.044795033595</v>
      </c>
      <c r="D111" s="2">
        <f>D122</f>
        <v>2.0673104605024446</v>
      </c>
    </row>
    <row r="112" spans="1:4">
      <c r="A112" s="43"/>
      <c r="B112" s="26" t="s">
        <v>4</v>
      </c>
      <c r="C112" s="33">
        <f>474*91.16</f>
        <v>43209.84</v>
      </c>
      <c r="D112" s="2">
        <f>C112/D11/12</f>
        <v>1.2126096151514743</v>
      </c>
    </row>
    <row r="113" spans="1:4" ht="28.5">
      <c r="A113" s="43"/>
      <c r="B113" s="27" t="s">
        <v>5</v>
      </c>
      <c r="C113" s="2">
        <f>C112*0.302</f>
        <v>13049.371679999998</v>
      </c>
      <c r="D113" s="2">
        <f>C113/D11/12</f>
        <v>0.3662081037757452</v>
      </c>
    </row>
    <row r="114" spans="1:4">
      <c r="A114" s="43"/>
      <c r="B114" s="24" t="s">
        <v>6</v>
      </c>
      <c r="C114" s="33">
        <f>474*8.19</f>
        <v>3882.06</v>
      </c>
      <c r="D114" s="2">
        <f>C114/D11/12</f>
        <v>0.10894331667497338</v>
      </c>
    </row>
    <row r="115" spans="1:4">
      <c r="A115" s="43"/>
      <c r="B115" s="3" t="s">
        <v>7</v>
      </c>
      <c r="C115" s="13">
        <f>700*5</f>
        <v>3500</v>
      </c>
      <c r="D115" s="2">
        <f>C115/D11/12</f>
        <v>9.822146189456292E-2</v>
      </c>
    </row>
    <row r="116" spans="1:4">
      <c r="A116" s="43"/>
      <c r="B116" s="24" t="s">
        <v>8</v>
      </c>
      <c r="C116" s="2">
        <f>C112+C113+C114+C115</f>
        <v>63641.271679999991</v>
      </c>
      <c r="D116" s="2">
        <f>D112+D113+D114+D115</f>
        <v>1.7859824974967557</v>
      </c>
    </row>
    <row r="117" spans="1:4">
      <c r="A117" s="43"/>
      <c r="B117" s="3" t="s">
        <v>9</v>
      </c>
      <c r="C117" s="2">
        <f>C116*5/100</f>
        <v>3182.0635839999995</v>
      </c>
      <c r="D117" s="2">
        <f>C117/D11/12</f>
        <v>8.9299124874837779E-2</v>
      </c>
    </row>
    <row r="118" spans="1:4">
      <c r="A118" s="43"/>
      <c r="B118" s="24" t="s">
        <v>8</v>
      </c>
      <c r="C118" s="2">
        <f>C116+C117</f>
        <v>66823.335263999994</v>
      </c>
      <c r="D118" s="2">
        <f>D116+D117</f>
        <v>1.8752816223715936</v>
      </c>
    </row>
    <row r="119" spans="1:4">
      <c r="A119" s="43"/>
      <c r="B119" s="24" t="s">
        <v>10</v>
      </c>
      <c r="C119" s="2">
        <f>C118*6/100</f>
        <v>4009.4001158399997</v>
      </c>
      <c r="D119" s="2">
        <f>C119/D11/12</f>
        <v>0.1125168973422956</v>
      </c>
    </row>
    <row r="120" spans="1:4">
      <c r="A120" s="43"/>
      <c r="B120" s="24" t="s">
        <v>8</v>
      </c>
      <c r="C120" s="2">
        <f>C118+C119</f>
        <v>70832.73537984</v>
      </c>
      <c r="D120" s="2">
        <f>D118+D119</f>
        <v>1.9877985197138892</v>
      </c>
    </row>
    <row r="121" spans="1:4">
      <c r="A121" s="43"/>
      <c r="B121" s="5" t="s">
        <v>11</v>
      </c>
      <c r="C121" s="2">
        <f>C120*4/100</f>
        <v>2833.3094151936002</v>
      </c>
      <c r="D121" s="2">
        <f>C121/D11/12</f>
        <v>7.9511940788555571E-2</v>
      </c>
    </row>
    <row r="122" spans="1:4">
      <c r="A122" s="43"/>
      <c r="B122" s="5" t="s">
        <v>8</v>
      </c>
      <c r="C122" s="2">
        <f>C120+C121</f>
        <v>73666.044795033595</v>
      </c>
      <c r="D122" s="2">
        <f>D120+D121</f>
        <v>2.0673104605024446</v>
      </c>
    </row>
    <row r="123" spans="1:4" ht="30.75" customHeight="1">
      <c r="A123" s="43" t="s">
        <v>62</v>
      </c>
      <c r="B123" s="24" t="s">
        <v>63</v>
      </c>
      <c r="C123" s="2">
        <f>C134</f>
        <v>78128.658038512032</v>
      </c>
      <c r="D123" s="2">
        <f>D134</f>
        <v>2.1925460024008703</v>
      </c>
    </row>
    <row r="124" spans="1:4">
      <c r="A124" s="43"/>
      <c r="B124" s="26" t="s">
        <v>4</v>
      </c>
      <c r="C124" s="13">
        <f>1613.6*29.52</f>
        <v>47633.471999999994</v>
      </c>
      <c r="D124" s="2">
        <f>C124/D11/12</f>
        <v>1.3367512157010655</v>
      </c>
    </row>
    <row r="125" spans="1:4" ht="28.5">
      <c r="A125" s="43"/>
      <c r="B125" s="27" t="s">
        <v>5</v>
      </c>
      <c r="C125" s="2">
        <f>C124*0.302</f>
        <v>14385.308543999998</v>
      </c>
      <c r="D125" s="2">
        <f>C125/D11/12</f>
        <v>0.40369886714172171</v>
      </c>
    </row>
    <row r="126" spans="1:4">
      <c r="A126" s="43"/>
      <c r="B126" s="24" t="s">
        <v>6</v>
      </c>
      <c r="C126" s="13">
        <f>1613.6*1.91</f>
        <v>3081.9759999999997</v>
      </c>
      <c r="D126" s="2">
        <f>C126/D11/12</f>
        <v>8.6490339498273547E-2</v>
      </c>
    </row>
    <row r="127" spans="1:4">
      <c r="A127" s="43"/>
      <c r="B127" s="3" t="s">
        <v>12</v>
      </c>
      <c r="C127" s="13">
        <f>(64000+12000)/51186.1*1613.6</f>
        <v>2395.8379325637234</v>
      </c>
      <c r="D127" s="2">
        <f>C127/D11/12</f>
        <v>6.7235058342530324E-2</v>
      </c>
    </row>
    <row r="128" spans="1:4">
      <c r="A128" s="43"/>
      <c r="B128" s="24" t="s">
        <v>8</v>
      </c>
      <c r="C128" s="2">
        <f>C124+C125+C126+C127</f>
        <v>67496.594476563725</v>
      </c>
      <c r="D128" s="2">
        <f>D124+D125+D126+D127</f>
        <v>1.8941754806835909</v>
      </c>
    </row>
    <row r="129" spans="1:6">
      <c r="A129" s="43"/>
      <c r="B129" s="3" t="s">
        <v>9</v>
      </c>
      <c r="C129" s="2">
        <f>C128*5/100</f>
        <v>3374.8297238281866</v>
      </c>
      <c r="D129" s="2">
        <f>C129/D11/12</f>
        <v>9.4708774034179558E-2</v>
      </c>
    </row>
    <row r="130" spans="1:6">
      <c r="A130" s="43"/>
      <c r="B130" s="24" t="s">
        <v>8</v>
      </c>
      <c r="C130" s="2">
        <f>C128+C129</f>
        <v>70871.424200391906</v>
      </c>
      <c r="D130" s="2">
        <f>D128+D129</f>
        <v>1.9888842547177705</v>
      </c>
    </row>
    <row r="131" spans="1:6">
      <c r="A131" s="43"/>
      <c r="B131" s="24" t="s">
        <v>10</v>
      </c>
      <c r="C131" s="2">
        <f>C130*6/100</f>
        <v>4252.2854520235142</v>
      </c>
      <c r="D131" s="2">
        <f>C131/D11/12</f>
        <v>0.11933305528306624</v>
      </c>
    </row>
    <row r="132" spans="1:6">
      <c r="A132" s="43"/>
      <c r="B132" s="24" t="s">
        <v>8</v>
      </c>
      <c r="C132" s="2">
        <f>C130+C131</f>
        <v>75123.709652415419</v>
      </c>
      <c r="D132" s="2">
        <f>D130+D131</f>
        <v>2.1082173100008368</v>
      </c>
    </row>
    <row r="133" spans="1:6">
      <c r="A133" s="43"/>
      <c r="B133" s="5" t="s">
        <v>11</v>
      </c>
      <c r="C133" s="2">
        <f>C132*4/100</f>
        <v>3004.9483860966166</v>
      </c>
      <c r="D133" s="2">
        <f>C133/D11/12</f>
        <v>8.4328692400033475E-2</v>
      </c>
    </row>
    <row r="134" spans="1:6">
      <c r="A134" s="43"/>
      <c r="B134" s="5" t="s">
        <v>8</v>
      </c>
      <c r="C134" s="2">
        <f>C132+C133</f>
        <v>78128.658038512032</v>
      </c>
      <c r="D134" s="2">
        <f>D132+D133</f>
        <v>2.1925460024008703</v>
      </c>
    </row>
    <row r="135" spans="1:6" ht="44.25" customHeight="1">
      <c r="A135" s="42" t="s">
        <v>64</v>
      </c>
      <c r="B135" s="5" t="s">
        <v>65</v>
      </c>
      <c r="C135" s="4">
        <f>C139+C147+C143</f>
        <v>2018.7248640000003</v>
      </c>
      <c r="D135" s="4">
        <f>D139+D147+D143</f>
        <v>5.6652030658566485E-2</v>
      </c>
      <c r="F135" s="17"/>
    </row>
    <row r="136" spans="1:6">
      <c r="A136" s="43" t="s">
        <v>35</v>
      </c>
      <c r="B136" s="5" t="s">
        <v>121</v>
      </c>
      <c r="C136" s="46"/>
      <c r="D136" s="4"/>
    </row>
    <row r="137" spans="1:6">
      <c r="A137" s="43"/>
      <c r="B137" s="24" t="s">
        <v>10</v>
      </c>
      <c r="C137" s="2">
        <f>4156.27*6/100</f>
        <v>249.37620000000004</v>
      </c>
      <c r="D137" s="2">
        <f>C137/12/D11</f>
        <v>6.9983128359174009E-3</v>
      </c>
    </row>
    <row r="138" spans="1:6">
      <c r="A138" s="43"/>
      <c r="B138" s="5" t="s">
        <v>11</v>
      </c>
      <c r="C138" s="2">
        <f>(4156.27+C137)*4/100</f>
        <v>176.22584800000001</v>
      </c>
      <c r="D138" s="2">
        <f>C138/12/D11</f>
        <v>4.9454744040482957E-3</v>
      </c>
    </row>
    <row r="139" spans="1:6">
      <c r="A139" s="43"/>
      <c r="B139" s="5" t="s">
        <v>8</v>
      </c>
      <c r="C139" s="2">
        <f>C137+C138</f>
        <v>425.60204800000008</v>
      </c>
      <c r="D139" s="2">
        <f>D137+D138</f>
        <v>1.1943787239965697E-2</v>
      </c>
    </row>
    <row r="140" spans="1:6">
      <c r="A140" s="55" t="s">
        <v>36</v>
      </c>
      <c r="B140" s="5" t="s">
        <v>122</v>
      </c>
      <c r="C140" s="46"/>
      <c r="D140" s="4"/>
    </row>
    <row r="141" spans="1:6">
      <c r="A141" s="55"/>
      <c r="B141" s="24" t="s">
        <v>10</v>
      </c>
      <c r="C141" s="2">
        <f>3680.55*6/100</f>
        <v>220.83300000000003</v>
      </c>
      <c r="D141" s="2">
        <f>C141/12/D11</f>
        <v>6.1972971698748608E-3</v>
      </c>
    </row>
    <row r="142" spans="1:6">
      <c r="A142" s="55"/>
      <c r="B142" s="5" t="s">
        <v>11</v>
      </c>
      <c r="C142" s="2">
        <f>(3680.55+C141)*4/100</f>
        <v>156.05532000000002</v>
      </c>
      <c r="D142" s="2">
        <f>C142/12/D11</f>
        <v>4.3794233333782351E-3</v>
      </c>
    </row>
    <row r="143" spans="1:6">
      <c r="A143" s="55"/>
      <c r="B143" s="5" t="s">
        <v>8</v>
      </c>
      <c r="C143" s="2">
        <f t="shared" ref="C143:D143" si="0">C141+C142</f>
        <v>376.88832000000002</v>
      </c>
      <c r="D143" s="2">
        <f t="shared" si="0"/>
        <v>1.0576720503253097E-2</v>
      </c>
    </row>
    <row r="144" spans="1:6">
      <c r="A144" s="43" t="s">
        <v>42</v>
      </c>
      <c r="B144" s="5" t="s">
        <v>123</v>
      </c>
      <c r="C144" s="46"/>
      <c r="D144" s="4"/>
    </row>
    <row r="145" spans="1:5">
      <c r="A145" s="43"/>
      <c r="B145" s="24" t="s">
        <v>10</v>
      </c>
      <c r="C145" s="2">
        <f>11877.29*6/100</f>
        <v>712.63740000000007</v>
      </c>
      <c r="D145" s="2">
        <f>C145/12/D11</f>
        <v>1.9998939208211539E-2</v>
      </c>
    </row>
    <row r="146" spans="1:5">
      <c r="A146" s="43"/>
      <c r="B146" s="5" t="s">
        <v>11</v>
      </c>
      <c r="C146" s="2">
        <f>(11877.29+C145)*4/100</f>
        <v>503.59709600000002</v>
      </c>
      <c r="D146" s="2">
        <f>C146/12/D11</f>
        <v>1.4132583707136154E-2</v>
      </c>
    </row>
    <row r="147" spans="1:5">
      <c r="A147" s="43"/>
      <c r="B147" s="5" t="s">
        <v>8</v>
      </c>
      <c r="C147" s="2">
        <f t="shared" ref="C147:D147" si="1">C145+C146</f>
        <v>1216.234496</v>
      </c>
      <c r="D147" s="2">
        <f t="shared" si="1"/>
        <v>3.4131522915347691E-2</v>
      </c>
    </row>
    <row r="148" spans="1:5">
      <c r="A148" s="43"/>
      <c r="B148" s="6" t="s">
        <v>30</v>
      </c>
      <c r="C148" s="2">
        <f>C12+C47+C135</f>
        <v>737696.63181827439</v>
      </c>
      <c r="D148" s="2">
        <f>D12+D47+D135</f>
        <v>20.702183317681726</v>
      </c>
      <c r="E148" s="17"/>
    </row>
    <row r="149" spans="1:5" ht="28.5">
      <c r="A149" s="42" t="s">
        <v>66</v>
      </c>
      <c r="B149" s="24" t="s">
        <v>67</v>
      </c>
      <c r="C149" s="2">
        <v>164557</v>
      </c>
      <c r="D149" s="29">
        <v>4.62</v>
      </c>
    </row>
    <row r="150" spans="1:5">
      <c r="A150" s="43"/>
      <c r="B150" s="41" t="s">
        <v>71</v>
      </c>
      <c r="C150" s="2">
        <f>C148+C149</f>
        <v>902253.63181827439</v>
      </c>
      <c r="D150" s="2">
        <f>D148+D149</f>
        <v>25.322183317681727</v>
      </c>
    </row>
    <row r="151" spans="1:5" hidden="1">
      <c r="A151" s="42" t="s">
        <v>72</v>
      </c>
      <c r="B151" s="3" t="s">
        <v>73</v>
      </c>
      <c r="C151" s="2">
        <v>0</v>
      </c>
      <c r="D151" s="2">
        <v>0</v>
      </c>
    </row>
    <row r="153" spans="1:5">
      <c r="B153" s="8"/>
      <c r="C153" s="15"/>
      <c r="D153" s="8"/>
    </row>
    <row r="154" spans="1:5">
      <c r="B154" s="9" t="s">
        <v>75</v>
      </c>
      <c r="C154" s="16"/>
      <c r="D154" s="10"/>
    </row>
    <row r="155" spans="1:5" ht="15.75">
      <c r="B155" s="30" t="s">
        <v>47</v>
      </c>
      <c r="C155" s="31"/>
      <c r="D155" s="30"/>
    </row>
    <row r="156" spans="1:5" ht="15.75">
      <c r="B156" s="30"/>
      <c r="C156" s="31"/>
      <c r="D156" s="30"/>
    </row>
    <row r="157" spans="1:5">
      <c r="B157" s="72" t="s">
        <v>31</v>
      </c>
      <c r="C157" s="72"/>
      <c r="D157" s="72"/>
    </row>
    <row r="158" spans="1:5" ht="15.75">
      <c r="B158" s="30"/>
      <c r="C158" s="31"/>
      <c r="D158" s="30"/>
    </row>
  </sheetData>
  <mergeCells count="11">
    <mergeCell ref="A9:A10"/>
    <mergeCell ref="B9:B10"/>
    <mergeCell ref="C9:C10"/>
    <mergeCell ref="D9:D10"/>
    <mergeCell ref="B157:D157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8"/>
  <sheetViews>
    <sheetView topLeftCell="A5" zoomScale="110" zoomScaleNormal="110" workbookViewId="0">
      <selection activeCell="D146" sqref="D146"/>
    </sheetView>
  </sheetViews>
  <sheetFormatPr defaultRowHeight="15"/>
  <cols>
    <col min="1" max="1" width="6.85546875" style="11" customWidth="1"/>
    <col min="2" max="2" width="53.85546875" style="18" customWidth="1"/>
    <col min="3" max="3" width="15.28515625" style="32" customWidth="1"/>
    <col min="4" max="4" width="15.28515625" style="18" customWidth="1"/>
    <col min="5" max="5" width="7.7109375" customWidth="1"/>
  </cols>
  <sheetData>
    <row r="1" spans="1:6" ht="15.75">
      <c r="C1" s="67" t="s">
        <v>0</v>
      </c>
      <c r="D1" s="67"/>
    </row>
    <row r="2" spans="1:6" ht="15.75">
      <c r="C2" s="67" t="s">
        <v>1</v>
      </c>
      <c r="D2" s="67"/>
    </row>
    <row r="3" spans="1:6" ht="15.75">
      <c r="C3" s="67" t="s">
        <v>91</v>
      </c>
      <c r="D3" s="67"/>
    </row>
    <row r="4" spans="1:6" ht="15.75">
      <c r="C4" s="67" t="s">
        <v>32</v>
      </c>
      <c r="D4" s="67"/>
    </row>
    <row r="5" spans="1:6" ht="15.75">
      <c r="B5" s="19"/>
      <c r="C5" s="12"/>
      <c r="D5" s="20"/>
    </row>
    <row r="6" spans="1:6" ht="38.25" customHeight="1">
      <c r="B6" s="68" t="s">
        <v>74</v>
      </c>
      <c r="C6" s="68"/>
      <c r="D6" s="68"/>
    </row>
    <row r="7" spans="1:6" ht="18">
      <c r="B7" s="66" t="s">
        <v>80</v>
      </c>
      <c r="C7" s="66"/>
      <c r="D7" s="66"/>
    </row>
    <row r="8" spans="1:6" ht="8.25" customHeight="1">
      <c r="B8" s="44"/>
      <c r="C8" s="21"/>
      <c r="D8" s="1"/>
    </row>
    <row r="9" spans="1:6">
      <c r="A9" s="69" t="s">
        <v>34</v>
      </c>
      <c r="B9" s="70" t="s">
        <v>2</v>
      </c>
      <c r="C9" s="71" t="s">
        <v>33</v>
      </c>
      <c r="D9" s="71" t="s">
        <v>3</v>
      </c>
    </row>
    <row r="10" spans="1:6" ht="25.5" customHeight="1">
      <c r="A10" s="69"/>
      <c r="B10" s="70"/>
      <c r="C10" s="71"/>
      <c r="D10" s="71"/>
    </row>
    <row r="11" spans="1:6">
      <c r="A11" s="43"/>
      <c r="B11" s="22" t="s">
        <v>53</v>
      </c>
      <c r="C11" s="2"/>
      <c r="D11" s="2">
        <v>2069.02</v>
      </c>
    </row>
    <row r="12" spans="1:6">
      <c r="A12" s="42" t="s">
        <v>51</v>
      </c>
      <c r="B12" s="24" t="s">
        <v>52</v>
      </c>
      <c r="C12" s="2">
        <f>C13+C24+C43</f>
        <v>203285.44996265409</v>
      </c>
      <c r="D12" s="2">
        <f>D13+D24+D43</f>
        <v>8.1876705703929922</v>
      </c>
    </row>
    <row r="13" spans="1:6">
      <c r="A13" s="43" t="s">
        <v>35</v>
      </c>
      <c r="B13" s="24" t="s">
        <v>70</v>
      </c>
      <c r="C13" s="2">
        <f>C23</f>
        <v>135638.99456199814</v>
      </c>
      <c r="D13" s="2">
        <f>D23</f>
        <v>5.4630934195093221</v>
      </c>
      <c r="F13" s="17"/>
    </row>
    <row r="14" spans="1:6">
      <c r="A14" s="43"/>
      <c r="B14" s="24" t="s">
        <v>13</v>
      </c>
      <c r="C14" s="2">
        <f>(2363756.52+40177.8)/56146.82*D11</f>
        <v>88585.394271062905</v>
      </c>
      <c r="D14" s="2">
        <f>C14/D11/12</f>
        <v>3.5679288693464741</v>
      </c>
    </row>
    <row r="15" spans="1:6" ht="28.5">
      <c r="A15" s="43"/>
      <c r="B15" s="27" t="s">
        <v>5</v>
      </c>
      <c r="C15" s="2">
        <f>C14*0.302</f>
        <v>26752.789069860995</v>
      </c>
      <c r="D15" s="2">
        <f>D14*0.302</f>
        <v>1.0775145185426351</v>
      </c>
    </row>
    <row r="16" spans="1:6">
      <c r="A16" s="43"/>
      <c r="B16" s="24" t="s">
        <v>6</v>
      </c>
      <c r="C16" s="14">
        <f>50000/56146.82*D11</f>
        <v>1842.5086229282442</v>
      </c>
      <c r="D16" s="2">
        <f>C16/D11/12</f>
        <v>7.421019866604496E-2</v>
      </c>
    </row>
    <row r="17" spans="1:4">
      <c r="A17" s="43"/>
      <c r="B17" s="24" t="s">
        <v>8</v>
      </c>
      <c r="C17" s="2">
        <f>C14+C15+C16</f>
        <v>117180.69196385215</v>
      </c>
      <c r="D17" s="2">
        <f>D14+D15+D16</f>
        <v>4.7196535865551548</v>
      </c>
    </row>
    <row r="18" spans="1:4">
      <c r="A18" s="43"/>
      <c r="B18" s="3" t="s">
        <v>9</v>
      </c>
      <c r="C18" s="2">
        <f>C17*5/100</f>
        <v>5859.0345981926075</v>
      </c>
      <c r="D18" s="2">
        <f>D17*5/100</f>
        <v>0.23598267932775774</v>
      </c>
    </row>
    <row r="19" spans="1:4">
      <c r="A19" s="43"/>
      <c r="B19" s="24" t="s">
        <v>8</v>
      </c>
      <c r="C19" s="2">
        <f>C17+C18</f>
        <v>123039.72656204476</v>
      </c>
      <c r="D19" s="2">
        <f>D17+D18</f>
        <v>4.9556362658829123</v>
      </c>
    </row>
    <row r="20" spans="1:4">
      <c r="A20" s="43"/>
      <c r="B20" s="24" t="s">
        <v>10</v>
      </c>
      <c r="C20" s="2">
        <f>C19*6/100</f>
        <v>7382.3835937226859</v>
      </c>
      <c r="D20" s="2">
        <f>D19*6/100</f>
        <v>0.29733817595297474</v>
      </c>
    </row>
    <row r="21" spans="1:4">
      <c r="A21" s="43"/>
      <c r="B21" s="24" t="s">
        <v>8</v>
      </c>
      <c r="C21" s="2">
        <f>C19+C20</f>
        <v>130422.11015576744</v>
      </c>
      <c r="D21" s="2">
        <f>D19+D20</f>
        <v>5.252974441835887</v>
      </c>
    </row>
    <row r="22" spans="1:4">
      <c r="A22" s="43"/>
      <c r="B22" s="5" t="s">
        <v>11</v>
      </c>
      <c r="C22" s="2">
        <f>C21*4/100</f>
        <v>5216.884406230698</v>
      </c>
      <c r="D22" s="2">
        <f>D21*4/100</f>
        <v>0.21011897767343549</v>
      </c>
    </row>
    <row r="23" spans="1:4">
      <c r="A23" s="43"/>
      <c r="B23" s="5" t="s">
        <v>8</v>
      </c>
      <c r="C23" s="2">
        <f>C21+C22</f>
        <v>135638.99456199814</v>
      </c>
      <c r="D23" s="2">
        <f>D21+D22</f>
        <v>5.4630934195093221</v>
      </c>
    </row>
    <row r="24" spans="1:4">
      <c r="A24" s="43" t="s">
        <v>36</v>
      </c>
      <c r="B24" s="24" t="s">
        <v>69</v>
      </c>
      <c r="C24" s="2">
        <f>C42</f>
        <v>50774.405400655967</v>
      </c>
      <c r="D24" s="2">
        <f>D42</f>
        <v>2.0450263651654716</v>
      </c>
    </row>
    <row r="25" spans="1:4">
      <c r="A25" s="43"/>
      <c r="B25" s="3" t="s">
        <v>17</v>
      </c>
      <c r="C25" s="2">
        <f>16000/56146.82*D11</f>
        <v>589.60275933703815</v>
      </c>
      <c r="D25" s="2">
        <f>C25/D11/12</f>
        <v>2.3747263573134388E-2</v>
      </c>
    </row>
    <row r="26" spans="1:4">
      <c r="A26" s="43"/>
      <c r="B26" s="3" t="s">
        <v>18</v>
      </c>
      <c r="C26" s="2">
        <f>((23200+5300)*12)/56146.82*D11</f>
        <v>12602.75898082919</v>
      </c>
      <c r="D26" s="2">
        <f>C26/D11/12</f>
        <v>0.50759775887574754</v>
      </c>
    </row>
    <row r="27" spans="1:4">
      <c r="A27" s="43"/>
      <c r="B27" s="3" t="s">
        <v>19</v>
      </c>
      <c r="C27" s="2">
        <f>26500*12/56146.82*D11</f>
        <v>11718.354841823633</v>
      </c>
      <c r="D27" s="2">
        <f>C27/D11/12</f>
        <v>0.47197686351604595</v>
      </c>
    </row>
    <row r="28" spans="1:4">
      <c r="A28" s="43"/>
      <c r="B28" s="3" t="s">
        <v>20</v>
      </c>
      <c r="C28" s="2">
        <f>45000/56146.82*D11</f>
        <v>1658.2577606354196</v>
      </c>
      <c r="D28" s="2">
        <f>C28/D11/12</f>
        <v>6.6789178799440463E-2</v>
      </c>
    </row>
    <row r="29" spans="1:4">
      <c r="A29" s="43"/>
      <c r="B29" s="3" t="s">
        <v>21</v>
      </c>
      <c r="C29" s="2">
        <f>56221.5/56146.82*D11</f>
        <v>2071.7719708792056</v>
      </c>
      <c r="D29" s="2">
        <f>C29/D11/12</f>
        <v>8.3444173686060941E-2</v>
      </c>
    </row>
    <row r="30" spans="1:4">
      <c r="A30" s="43"/>
      <c r="B30" s="3" t="s">
        <v>22</v>
      </c>
      <c r="C30" s="2">
        <f>80170.37/56146.82*D11</f>
        <v>2954.2919605669563</v>
      </c>
      <c r="D30" s="2">
        <f>C30/D11/12</f>
        <v>0.11898918169660662</v>
      </c>
    </row>
    <row r="31" spans="1:4">
      <c r="A31" s="43"/>
      <c r="B31" s="3" t="s">
        <v>23</v>
      </c>
      <c r="C31" s="2">
        <f>93800/56146.82*D11</f>
        <v>3456.5461766133863</v>
      </c>
      <c r="D31" s="2">
        <f>C31/D11/12</f>
        <v>0.13921833269750036</v>
      </c>
    </row>
    <row r="32" spans="1:4">
      <c r="A32" s="43"/>
      <c r="B32" s="3" t="s">
        <v>24</v>
      </c>
      <c r="C32" s="2">
        <f>7000/56146.82*D11</f>
        <v>257.95120720995419</v>
      </c>
      <c r="D32" s="2">
        <f>C32/D11/12</f>
        <v>1.0389427813246295E-2</v>
      </c>
    </row>
    <row r="33" spans="1:5">
      <c r="A33" s="43"/>
      <c r="B33" s="3" t="s">
        <v>25</v>
      </c>
      <c r="C33" s="2">
        <f>113064/56146.82*D11</f>
        <v>4166.4278988551796</v>
      </c>
      <c r="D33" s="2">
        <f>C33/D11/12</f>
        <v>0.16781003803955416</v>
      </c>
    </row>
    <row r="34" spans="1:5">
      <c r="A34" s="43"/>
      <c r="B34" s="3" t="s">
        <v>26</v>
      </c>
      <c r="C34" s="2">
        <f>84600/56146.82*D11</f>
        <v>3117.5245899945894</v>
      </c>
      <c r="D34" s="2">
        <f>C34/D11/12</f>
        <v>0.12556365614294809</v>
      </c>
    </row>
    <row r="35" spans="1:5">
      <c r="A35" s="43"/>
      <c r="B35" s="3" t="s">
        <v>27</v>
      </c>
      <c r="C35" s="2">
        <f>34500/56146.82*D11</f>
        <v>1271.3309498204885</v>
      </c>
      <c r="D35" s="2">
        <f>C35/D11/12</f>
        <v>5.1205037079571025E-2</v>
      </c>
    </row>
    <row r="36" spans="1:5">
      <c r="A36" s="43"/>
      <c r="B36" s="24" t="s">
        <v>8</v>
      </c>
      <c r="C36" s="2">
        <f>SUM(C25:C35)</f>
        <v>43864.819096565043</v>
      </c>
      <c r="D36" s="2">
        <f>SUM(D25:D35)</f>
        <v>1.766730911919856</v>
      </c>
    </row>
    <row r="37" spans="1:5">
      <c r="A37" s="43"/>
      <c r="B37" s="3" t="s">
        <v>9</v>
      </c>
      <c r="C37" s="2">
        <f>C36*5/100</f>
        <v>2193.2409548282521</v>
      </c>
      <c r="D37" s="2">
        <f>D36*5/100</f>
        <v>8.8336545595992799E-2</v>
      </c>
    </row>
    <row r="38" spans="1:5">
      <c r="A38" s="43"/>
      <c r="B38" s="24" t="s">
        <v>8</v>
      </c>
      <c r="C38" s="2">
        <f>C36+C37</f>
        <v>46058.060051393295</v>
      </c>
      <c r="D38" s="2">
        <f>D36+D37</f>
        <v>1.8550674575158488</v>
      </c>
    </row>
    <row r="39" spans="1:5">
      <c r="A39" s="43"/>
      <c r="B39" s="24" t="s">
        <v>10</v>
      </c>
      <c r="C39" s="2">
        <f>C38*6/100</f>
        <v>2763.4836030835977</v>
      </c>
      <c r="D39" s="2">
        <f>D38*6/100</f>
        <v>0.11130404745095092</v>
      </c>
    </row>
    <row r="40" spans="1:5">
      <c r="A40" s="43"/>
      <c r="B40" s="24" t="s">
        <v>8</v>
      </c>
      <c r="C40" s="2">
        <f>C38+C39</f>
        <v>48821.543654476889</v>
      </c>
      <c r="D40" s="2">
        <f>D38+D39</f>
        <v>1.9663715049667998</v>
      </c>
    </row>
    <row r="41" spans="1:5">
      <c r="A41" s="43"/>
      <c r="B41" s="5" t="s">
        <v>11</v>
      </c>
      <c r="C41" s="2">
        <f>C40*4/100</f>
        <v>1952.8617461790755</v>
      </c>
      <c r="D41" s="2">
        <f>D40*4/100</f>
        <v>7.8654860198671989E-2</v>
      </c>
    </row>
    <row r="42" spans="1:5">
      <c r="A42" s="43"/>
      <c r="B42" s="5" t="s">
        <v>8</v>
      </c>
      <c r="C42" s="2">
        <f>SUM(C40:C41)</f>
        <v>50774.405400655967</v>
      </c>
      <c r="D42" s="2">
        <f>SUM(D40:D41)</f>
        <v>2.0450263651654716</v>
      </c>
    </row>
    <row r="43" spans="1:5" ht="29.25">
      <c r="A43" s="37" t="s">
        <v>42</v>
      </c>
      <c r="B43" s="5" t="s">
        <v>68</v>
      </c>
      <c r="C43" s="2">
        <f>C46</f>
        <v>16872.05</v>
      </c>
      <c r="D43" s="2">
        <f>D46</f>
        <v>0.67955078571819827</v>
      </c>
    </row>
    <row r="44" spans="1:5">
      <c r="A44" s="43"/>
      <c r="B44" s="5" t="s">
        <v>28</v>
      </c>
      <c r="C44" s="46">
        <v>15388.24</v>
      </c>
      <c r="D44" s="4">
        <f>C44/12/D11</f>
        <v>0.61978779003264017</v>
      </c>
    </row>
    <row r="45" spans="1:5" ht="19.5" customHeight="1">
      <c r="A45" s="43"/>
      <c r="B45" s="5" t="s">
        <v>29</v>
      </c>
      <c r="C45" s="46">
        <v>1483.81</v>
      </c>
      <c r="D45" s="4">
        <f>C45/12/D11</f>
        <v>5.9762995685558054E-2</v>
      </c>
    </row>
    <row r="46" spans="1:5">
      <c r="A46" s="43"/>
      <c r="B46" s="5" t="s">
        <v>8</v>
      </c>
      <c r="C46" s="4">
        <f>C44+C45</f>
        <v>16872.05</v>
      </c>
      <c r="D46" s="4">
        <f>D44+D45</f>
        <v>0.67955078571819827</v>
      </c>
      <c r="E46" s="45"/>
    </row>
    <row r="47" spans="1:5">
      <c r="A47" s="42" t="s">
        <v>54</v>
      </c>
      <c r="B47" s="5" t="s">
        <v>55</v>
      </c>
      <c r="C47" s="2">
        <f>C48+C59+C109</f>
        <v>281236.32775465125</v>
      </c>
      <c r="D47" s="2">
        <f>D48+D59+D109</f>
        <v>11.32727602740473</v>
      </c>
    </row>
    <row r="48" spans="1:5" ht="47.25" customHeight="1">
      <c r="A48" s="43" t="s">
        <v>35</v>
      </c>
      <c r="B48" s="28" t="s">
        <v>46</v>
      </c>
      <c r="C48" s="4">
        <f>C58</f>
        <v>22913.181341554318</v>
      </c>
      <c r="D48" s="4">
        <f>D58</f>
        <v>0.92286772407364825</v>
      </c>
    </row>
    <row r="49" spans="1:7">
      <c r="A49" s="43"/>
      <c r="B49" s="24" t="s">
        <v>13</v>
      </c>
      <c r="C49" s="2">
        <f>(214308.36+159867.48)/56146.82*D11</f>
        <v>13788.444233828381</v>
      </c>
      <c r="D49" s="2">
        <f>C49/D11/12</f>
        <v>0.55535326844868504</v>
      </c>
    </row>
    <row r="50" spans="1:7">
      <c r="A50" s="43"/>
      <c r="B50" s="24" t="s">
        <v>14</v>
      </c>
      <c r="C50" s="2">
        <f>C49*0.302</f>
        <v>4164.1101586161712</v>
      </c>
      <c r="D50" s="2">
        <f>C50/D11/12</f>
        <v>0.16771668707150289</v>
      </c>
    </row>
    <row r="51" spans="1:7">
      <c r="A51" s="43"/>
      <c r="B51" s="24" t="s">
        <v>6</v>
      </c>
      <c r="C51" s="13">
        <f>50000/56146.82*D11</f>
        <v>1842.5086229282442</v>
      </c>
      <c r="D51" s="2">
        <f>C51/D11/12</f>
        <v>7.421019866604496E-2</v>
      </c>
    </row>
    <row r="52" spans="1:7">
      <c r="A52" s="43"/>
      <c r="B52" s="24" t="s">
        <v>8</v>
      </c>
      <c r="C52" s="2">
        <f>C49+C50+C51</f>
        <v>19795.063015372798</v>
      </c>
      <c r="D52" s="2">
        <f>D49+D50+D51</f>
        <v>0.79728015418623288</v>
      </c>
    </row>
    <row r="53" spans="1:7">
      <c r="A53" s="43"/>
      <c r="B53" s="3" t="s">
        <v>9</v>
      </c>
      <c r="C53" s="2">
        <f>C52*5/100</f>
        <v>989.7531507686399</v>
      </c>
      <c r="D53" s="2">
        <f>D52*5/100</f>
        <v>3.9864007709311644E-2</v>
      </c>
    </row>
    <row r="54" spans="1:7">
      <c r="A54" s="43"/>
      <c r="B54" s="24" t="s">
        <v>8</v>
      </c>
      <c r="C54" s="2">
        <f>C52+C53</f>
        <v>20784.816166141438</v>
      </c>
      <c r="D54" s="2">
        <f>D52+D53</f>
        <v>0.83714416189554453</v>
      </c>
    </row>
    <row r="55" spans="1:7">
      <c r="A55" s="43"/>
      <c r="B55" s="24" t="s">
        <v>10</v>
      </c>
      <c r="C55" s="2">
        <f>C54*6/100</f>
        <v>1247.0889699684863</v>
      </c>
      <c r="D55" s="2">
        <f>D54*6/100</f>
        <v>5.022864971373267E-2</v>
      </c>
    </row>
    <row r="56" spans="1:7">
      <c r="A56" s="43"/>
      <c r="B56" s="24" t="s">
        <v>8</v>
      </c>
      <c r="C56" s="2">
        <f>C54+C55</f>
        <v>22031.905136109923</v>
      </c>
      <c r="D56" s="2">
        <f>D54+D55</f>
        <v>0.88737281160927717</v>
      </c>
    </row>
    <row r="57" spans="1:7">
      <c r="A57" s="43"/>
      <c r="B57" s="5" t="s">
        <v>11</v>
      </c>
      <c r="C57" s="2">
        <f>C56*4/100</f>
        <v>881.27620544439696</v>
      </c>
      <c r="D57" s="2">
        <f>D56*4/100</f>
        <v>3.5494912464371087E-2</v>
      </c>
    </row>
    <row r="58" spans="1:7">
      <c r="A58" s="43"/>
      <c r="B58" s="5" t="s">
        <v>8</v>
      </c>
      <c r="C58" s="2">
        <f>C56+C57</f>
        <v>22913.181341554318</v>
      </c>
      <c r="D58" s="2">
        <f>D56+D57</f>
        <v>0.92286772407364825</v>
      </c>
    </row>
    <row r="59" spans="1:7" ht="63">
      <c r="A59" s="43" t="s">
        <v>36</v>
      </c>
      <c r="B59" s="28" t="s">
        <v>37</v>
      </c>
      <c r="C59" s="23">
        <f>C60+C71+C82+C93+C101</f>
        <v>160099.62234447888</v>
      </c>
      <c r="D59" s="23">
        <f>D60+D71+D82+D93+D101</f>
        <v>6.4482872062006349</v>
      </c>
      <c r="G59" s="17"/>
    </row>
    <row r="60" spans="1:7">
      <c r="A60" s="43" t="s">
        <v>38</v>
      </c>
      <c r="B60" s="24" t="s">
        <v>40</v>
      </c>
      <c r="C60" s="2">
        <f>C70</f>
        <v>32377.544345116239</v>
      </c>
      <c r="D60" s="2">
        <f>D70</f>
        <v>1.30406119584458</v>
      </c>
    </row>
    <row r="61" spans="1:7">
      <c r="A61" s="43"/>
      <c r="B61" s="24" t="s">
        <v>13</v>
      </c>
      <c r="C61" s="2">
        <f>(402940.32+0.5*298665.6)/56146.82*D11</f>
        <v>20351.359716229697</v>
      </c>
      <c r="D61" s="2">
        <f>C61/D11/12</f>
        <v>0.81968595906232977</v>
      </c>
    </row>
    <row r="62" spans="1:7">
      <c r="A62" s="43"/>
      <c r="B62" s="24" t="s">
        <v>14</v>
      </c>
      <c r="C62" s="2">
        <f>C61*0.302</f>
        <v>6146.110634301368</v>
      </c>
      <c r="D62" s="2">
        <f>C62/D11/12</f>
        <v>0.24754515963682355</v>
      </c>
    </row>
    <row r="63" spans="1:7">
      <c r="A63" s="43"/>
      <c r="B63" s="24" t="s">
        <v>6</v>
      </c>
      <c r="C63" s="13">
        <f>40000/56146.82*D11</f>
        <v>1474.0068983425954</v>
      </c>
      <c r="D63" s="2">
        <f>C63/D11/12</f>
        <v>5.9368158932835972E-2</v>
      </c>
    </row>
    <row r="64" spans="1:7">
      <c r="A64" s="43"/>
      <c r="B64" s="24" t="s">
        <v>8</v>
      </c>
      <c r="C64" s="2">
        <f>C61+C62+C63</f>
        <v>27971.47724887366</v>
      </c>
      <c r="D64" s="2">
        <f>D61+D62+D63</f>
        <v>1.1265992776319891</v>
      </c>
    </row>
    <row r="65" spans="1:4">
      <c r="A65" s="43"/>
      <c r="B65" s="3" t="s">
        <v>9</v>
      </c>
      <c r="C65" s="2">
        <f>C64*5/100</f>
        <v>1398.5738624436831</v>
      </c>
      <c r="D65" s="2">
        <f>D64*5/100</f>
        <v>5.6329963881599457E-2</v>
      </c>
    </row>
    <row r="66" spans="1:4">
      <c r="A66" s="43"/>
      <c r="B66" s="24" t="s">
        <v>8</v>
      </c>
      <c r="C66" s="2">
        <f>C64+C65</f>
        <v>29370.051111317342</v>
      </c>
      <c r="D66" s="2">
        <f>D64+D65</f>
        <v>1.1829292415135886</v>
      </c>
    </row>
    <row r="67" spans="1:4">
      <c r="A67" s="43"/>
      <c r="B67" s="24" t="s">
        <v>10</v>
      </c>
      <c r="C67" s="2">
        <f>C66*6/100</f>
        <v>1762.2030666790406</v>
      </c>
      <c r="D67" s="2">
        <f>D66*6/100</f>
        <v>7.0975754490815321E-2</v>
      </c>
    </row>
    <row r="68" spans="1:4">
      <c r="A68" s="43"/>
      <c r="B68" s="24" t="s">
        <v>8</v>
      </c>
      <c r="C68" s="2">
        <f>C66+C67</f>
        <v>31132.254177996383</v>
      </c>
      <c r="D68" s="2">
        <f>D66+D67</f>
        <v>1.253904996004404</v>
      </c>
    </row>
    <row r="69" spans="1:4">
      <c r="A69" s="43"/>
      <c r="B69" s="5" t="s">
        <v>11</v>
      </c>
      <c r="C69" s="2">
        <f>C68*4/100</f>
        <v>1245.2901671198554</v>
      </c>
      <c r="D69" s="2">
        <f>D68*4/100</f>
        <v>5.0156199840176156E-2</v>
      </c>
    </row>
    <row r="70" spans="1:4">
      <c r="A70" s="43"/>
      <c r="B70" s="5" t="s">
        <v>8</v>
      </c>
      <c r="C70" s="2">
        <f>C68+C69</f>
        <v>32377.544345116239</v>
      </c>
      <c r="D70" s="2">
        <f>D68+D69</f>
        <v>1.30406119584458</v>
      </c>
    </row>
    <row r="71" spans="1:4">
      <c r="A71" s="43" t="s">
        <v>39</v>
      </c>
      <c r="B71" s="24" t="s">
        <v>41</v>
      </c>
      <c r="C71" s="2">
        <f>C81</f>
        <v>13673.292345074227</v>
      </c>
      <c r="D71" s="2">
        <f>D81</f>
        <v>0.55071532839517534</v>
      </c>
    </row>
    <row r="72" spans="1:4">
      <c r="A72" s="43"/>
      <c r="B72" s="24" t="s">
        <v>13</v>
      </c>
      <c r="C72" s="2">
        <f>(171109.32+0.2*298665.6)/56146.82*D11</f>
        <v>8506.5837247559157</v>
      </c>
      <c r="D72" s="2">
        <f>C72/D11/12</f>
        <v>0.34261726665909126</v>
      </c>
    </row>
    <row r="73" spans="1:4" ht="28.5">
      <c r="A73" s="43"/>
      <c r="B73" s="27" t="s">
        <v>5</v>
      </c>
      <c r="C73" s="2">
        <f>C72*0.302</f>
        <v>2568.9882848762863</v>
      </c>
      <c r="D73" s="2">
        <f>C73/D11/12</f>
        <v>0.10347041453104555</v>
      </c>
    </row>
    <row r="74" spans="1:4">
      <c r="A74" s="43"/>
      <c r="B74" s="24" t="s">
        <v>6</v>
      </c>
      <c r="C74" s="13">
        <f>20000/56146.82*D11</f>
        <v>737.00344917129769</v>
      </c>
      <c r="D74" s="2">
        <f>C74/D11/12</f>
        <v>2.9684079466417986E-2</v>
      </c>
    </row>
    <row r="75" spans="1:4">
      <c r="A75" s="43"/>
      <c r="B75" s="24" t="s">
        <v>8</v>
      </c>
      <c r="C75" s="2">
        <f>C72+C73+C74</f>
        <v>11812.5754588035</v>
      </c>
      <c r="D75" s="2">
        <f>D72+D73+D74</f>
        <v>0.4757717606565548</v>
      </c>
    </row>
    <row r="76" spans="1:4">
      <c r="A76" s="43"/>
      <c r="B76" s="3" t="s">
        <v>9</v>
      </c>
      <c r="C76" s="2">
        <f>C75*5/100</f>
        <v>590.62877294017494</v>
      </c>
      <c r="D76" s="2">
        <f>D75*5/100</f>
        <v>2.3788588032827736E-2</v>
      </c>
    </row>
    <row r="77" spans="1:4">
      <c r="A77" s="43"/>
      <c r="B77" s="24" t="s">
        <v>8</v>
      </c>
      <c r="C77" s="2">
        <f>C75+C76</f>
        <v>12403.204231743675</v>
      </c>
      <c r="D77" s="2">
        <f>D75+D76</f>
        <v>0.49956034868938254</v>
      </c>
    </row>
    <row r="78" spans="1:4">
      <c r="A78" s="43"/>
      <c r="B78" s="24" t="s">
        <v>10</v>
      </c>
      <c r="C78" s="2">
        <f>C77*6/100</f>
        <v>744.19225390462054</v>
      </c>
      <c r="D78" s="2">
        <f>D77*6/100</f>
        <v>2.9973620921362954E-2</v>
      </c>
    </row>
    <row r="79" spans="1:4">
      <c r="A79" s="43"/>
      <c r="B79" s="24" t="s">
        <v>8</v>
      </c>
      <c r="C79" s="2">
        <f>C77+C78</f>
        <v>13147.396485648296</v>
      </c>
      <c r="D79" s="2">
        <f>D77+D78</f>
        <v>0.5295339696107455</v>
      </c>
    </row>
    <row r="80" spans="1:4">
      <c r="A80" s="43"/>
      <c r="B80" s="5" t="s">
        <v>11</v>
      </c>
      <c r="C80" s="2">
        <f>C79*4/100</f>
        <v>525.8958594259318</v>
      </c>
      <c r="D80" s="2">
        <f>D79*4/100</f>
        <v>2.1181358784429821E-2</v>
      </c>
    </row>
    <row r="81" spans="1:4">
      <c r="A81" s="43"/>
      <c r="B81" s="5" t="s">
        <v>8</v>
      </c>
      <c r="C81" s="2">
        <f>C79+C80</f>
        <v>13673.292345074227</v>
      </c>
      <c r="D81" s="2">
        <f>D79+D80</f>
        <v>0.55071532839517534</v>
      </c>
    </row>
    <row r="82" spans="1:4" ht="30.75" customHeight="1">
      <c r="A82" s="43" t="s">
        <v>56</v>
      </c>
      <c r="B82" s="28" t="s">
        <v>43</v>
      </c>
      <c r="C82" s="2">
        <f>C92</f>
        <v>82894.134854288393</v>
      </c>
      <c r="D82" s="2">
        <f>D92</f>
        <v>3.3387036235467509</v>
      </c>
    </row>
    <row r="83" spans="1:4">
      <c r="A83" s="43"/>
      <c r="B83" s="24" t="s">
        <v>13</v>
      </c>
      <c r="C83" s="2">
        <f>(1395324.48+0.3*298665.6)/56146.82*D11</f>
        <v>54719.711383889597</v>
      </c>
      <c r="D83" s="2">
        <f>C83/D11/12</f>
        <v>2.2039303383521989</v>
      </c>
    </row>
    <row r="84" spans="1:4" ht="28.5">
      <c r="A84" s="43"/>
      <c r="B84" s="27" t="s">
        <v>5</v>
      </c>
      <c r="C84" s="2">
        <f>C83*0.302</f>
        <v>16525.352837934657</v>
      </c>
      <c r="D84" s="2">
        <f>D83*0.302</f>
        <v>0.66558696218236402</v>
      </c>
    </row>
    <row r="85" spans="1:4">
      <c r="A85" s="43"/>
      <c r="B85" s="24" t="s">
        <v>6</v>
      </c>
      <c r="C85" s="13">
        <f>10000/56146.82*D11</f>
        <v>368.50172458564884</v>
      </c>
      <c r="D85" s="2">
        <f>C85/D11/12</f>
        <v>1.4842039733208993E-2</v>
      </c>
    </row>
    <row r="86" spans="1:4">
      <c r="A86" s="43"/>
      <c r="B86" s="24" t="s">
        <v>15</v>
      </c>
      <c r="C86" s="2">
        <f>C83+C84+C85</f>
        <v>71613.565946409901</v>
      </c>
      <c r="D86" s="2">
        <f>D83+D84+D85</f>
        <v>2.8843593402677716</v>
      </c>
    </row>
    <row r="87" spans="1:4">
      <c r="A87" s="43"/>
      <c r="B87" s="3" t="s">
        <v>9</v>
      </c>
      <c r="C87" s="2">
        <f>C86*5/100</f>
        <v>3580.6782973204949</v>
      </c>
      <c r="D87" s="2">
        <f>D86*5/100</f>
        <v>0.14421796701338857</v>
      </c>
    </row>
    <row r="88" spans="1:4">
      <c r="A88" s="43"/>
      <c r="B88" s="24" t="s">
        <v>8</v>
      </c>
      <c r="C88" s="2">
        <f>C86+C87</f>
        <v>75194.244243730398</v>
      </c>
      <c r="D88" s="2">
        <f>D86+D87</f>
        <v>3.0285773072811604</v>
      </c>
    </row>
    <row r="89" spans="1:4">
      <c r="A89" s="43"/>
      <c r="B89" s="24" t="s">
        <v>10</v>
      </c>
      <c r="C89" s="2">
        <f>C88*6/100</f>
        <v>4511.6546546238242</v>
      </c>
      <c r="D89" s="2">
        <f>D88*6/100</f>
        <v>0.18171463843686961</v>
      </c>
    </row>
    <row r="90" spans="1:4">
      <c r="A90" s="43"/>
      <c r="B90" s="24" t="s">
        <v>8</v>
      </c>
      <c r="C90" s="2">
        <f>C88+C89</f>
        <v>79705.898898354222</v>
      </c>
      <c r="D90" s="2">
        <f>D88+D89</f>
        <v>3.2102919457180299</v>
      </c>
    </row>
    <row r="91" spans="1:4">
      <c r="A91" s="43"/>
      <c r="B91" s="5" t="s">
        <v>11</v>
      </c>
      <c r="C91" s="2">
        <f>C90*4/100</f>
        <v>3188.2359559341689</v>
      </c>
      <c r="D91" s="2">
        <f>D90*4/100</f>
        <v>0.1284116778287212</v>
      </c>
    </row>
    <row r="92" spans="1:4">
      <c r="A92" s="43"/>
      <c r="B92" s="5" t="s">
        <v>8</v>
      </c>
      <c r="C92" s="2">
        <f>C90+C91</f>
        <v>82894.134854288393</v>
      </c>
      <c r="D92" s="2">
        <f>D90+D91</f>
        <v>3.3387036235467509</v>
      </c>
    </row>
    <row r="93" spans="1:4" ht="31.5">
      <c r="A93" s="43" t="s">
        <v>57</v>
      </c>
      <c r="B93" s="28" t="s">
        <v>44</v>
      </c>
      <c r="C93" s="23">
        <f>C100</f>
        <v>30002.918399999999</v>
      </c>
      <c r="D93" s="23">
        <f>D100</f>
        <v>1.2084190582981313</v>
      </c>
    </row>
    <row r="94" spans="1:4">
      <c r="A94" s="43"/>
      <c r="B94" s="3" t="s">
        <v>16</v>
      </c>
      <c r="C94" s="13">
        <f>48*180*3</f>
        <v>25920</v>
      </c>
      <c r="D94" s="2">
        <f>C94/D11/12</f>
        <v>1.0439725087239369</v>
      </c>
    </row>
    <row r="95" spans="1:4">
      <c r="A95" s="43"/>
      <c r="B95" s="3" t="s">
        <v>9</v>
      </c>
      <c r="C95" s="2">
        <f>C94*5/100</f>
        <v>1296</v>
      </c>
      <c r="D95" s="2">
        <f>D94*5/100</f>
        <v>5.2198625436196841E-2</v>
      </c>
    </row>
    <row r="96" spans="1:4">
      <c r="A96" s="43"/>
      <c r="B96" s="24" t="s">
        <v>8</v>
      </c>
      <c r="C96" s="2">
        <f>C94+C95</f>
        <v>27216</v>
      </c>
      <c r="D96" s="2">
        <f>D94+D95</f>
        <v>1.0961711341601337</v>
      </c>
    </row>
    <row r="97" spans="1:4">
      <c r="A97" s="43"/>
      <c r="B97" s="24" t="s">
        <v>10</v>
      </c>
      <c r="C97" s="2">
        <f>C96*6/100</f>
        <v>1632.96</v>
      </c>
      <c r="D97" s="2">
        <f>D96*6/100</f>
        <v>6.5770268049608019E-2</v>
      </c>
    </row>
    <row r="98" spans="1:4">
      <c r="A98" s="43"/>
      <c r="B98" s="24" t="s">
        <v>8</v>
      </c>
      <c r="C98" s="2">
        <f>C96+C97</f>
        <v>28848.959999999999</v>
      </c>
      <c r="D98" s="2">
        <f>D96+D97</f>
        <v>1.1619414022097416</v>
      </c>
    </row>
    <row r="99" spans="1:4">
      <c r="A99" s="43"/>
      <c r="B99" s="5" t="s">
        <v>11</v>
      </c>
      <c r="C99" s="2">
        <f>C98*4/100</f>
        <v>1153.9584</v>
      </c>
      <c r="D99" s="2">
        <f>D98*4/100</f>
        <v>4.6477656088389663E-2</v>
      </c>
    </row>
    <row r="100" spans="1:4">
      <c r="A100" s="43"/>
      <c r="B100" s="5" t="s">
        <v>8</v>
      </c>
      <c r="C100" s="2">
        <f>C98+C99</f>
        <v>30002.918399999999</v>
      </c>
      <c r="D100" s="2">
        <f>D98+D99</f>
        <v>1.2084190582981313</v>
      </c>
    </row>
    <row r="101" spans="1:4" ht="31.5">
      <c r="A101" s="43" t="s">
        <v>58</v>
      </c>
      <c r="B101" s="28" t="s">
        <v>88</v>
      </c>
      <c r="C101" s="13">
        <f>C108</f>
        <v>1151.7323999999999</v>
      </c>
      <c r="D101" s="13">
        <f>D108</f>
        <v>4.6388000115996954E-2</v>
      </c>
    </row>
    <row r="102" spans="1:4">
      <c r="A102" s="47"/>
      <c r="B102" s="48" t="s">
        <v>89</v>
      </c>
      <c r="C102" s="2">
        <v>995</v>
      </c>
      <c r="D102" s="49">
        <f>C102/12/D11</f>
        <v>4.0075333571771503E-2</v>
      </c>
    </row>
    <row r="103" spans="1:4">
      <c r="A103" s="47"/>
      <c r="B103" s="50" t="s">
        <v>9</v>
      </c>
      <c r="C103" s="51">
        <f>C102*5/100</f>
        <v>49.75</v>
      </c>
      <c r="D103" s="51">
        <f>D102*5/100</f>
        <v>2.0037666785885752E-3</v>
      </c>
    </row>
    <row r="104" spans="1:4">
      <c r="A104" s="47"/>
      <c r="B104" s="52" t="s">
        <v>8</v>
      </c>
      <c r="C104" s="51">
        <f>C102+C103</f>
        <v>1044.75</v>
      </c>
      <c r="D104" s="49">
        <f>D102+D103</f>
        <v>4.2079100250360081E-2</v>
      </c>
    </row>
    <row r="105" spans="1:4">
      <c r="A105" s="47"/>
      <c r="B105" s="53" t="s">
        <v>10</v>
      </c>
      <c r="C105" s="51">
        <f>C104*6/100</f>
        <v>62.685000000000002</v>
      </c>
      <c r="D105" s="51">
        <f>D104*6/100</f>
        <v>2.5247460150216051E-3</v>
      </c>
    </row>
    <row r="106" spans="1:4">
      <c r="A106" s="47"/>
      <c r="B106" s="52" t="s">
        <v>8</v>
      </c>
      <c r="C106" s="51">
        <f>C104+C105</f>
        <v>1107.4349999999999</v>
      </c>
      <c r="D106" s="49">
        <f>D104+D105</f>
        <v>4.4603846265381684E-2</v>
      </c>
    </row>
    <row r="107" spans="1:4">
      <c r="A107" s="47"/>
      <c r="B107" s="54" t="s">
        <v>11</v>
      </c>
      <c r="C107" s="51">
        <f>C106*4/100</f>
        <v>44.297399999999996</v>
      </c>
      <c r="D107" s="51">
        <f>D106*4/100</f>
        <v>1.7841538506152674E-3</v>
      </c>
    </row>
    <row r="108" spans="1:4">
      <c r="A108" s="47"/>
      <c r="B108" s="5" t="s">
        <v>8</v>
      </c>
      <c r="C108" s="2">
        <f>C106+C107</f>
        <v>1151.7323999999999</v>
      </c>
      <c r="D108" s="2">
        <f>D106+D107</f>
        <v>4.6388000115996954E-2</v>
      </c>
    </row>
    <row r="109" spans="1:4" ht="29.25">
      <c r="A109" s="37" t="s">
        <v>42</v>
      </c>
      <c r="B109" s="22" t="s">
        <v>59</v>
      </c>
      <c r="C109" s="23">
        <f>C121+C133</f>
        <v>98223.524068618062</v>
      </c>
      <c r="D109" s="23">
        <f>D121+D133</f>
        <v>3.9561210971304472</v>
      </c>
    </row>
    <row r="110" spans="1:4" ht="28.5">
      <c r="A110" s="43" t="s">
        <v>61</v>
      </c>
      <c r="B110" s="24" t="s">
        <v>60</v>
      </c>
      <c r="C110" s="25">
        <f>C121</f>
        <v>25440.3071849472</v>
      </c>
      <c r="D110" s="2">
        <f>D121</f>
        <v>1.0246520568895421</v>
      </c>
    </row>
    <row r="111" spans="1:4">
      <c r="A111" s="43"/>
      <c r="B111" s="26" t="s">
        <v>4</v>
      </c>
      <c r="C111" s="33">
        <f>148*91.16</f>
        <v>13491.68</v>
      </c>
      <c r="D111" s="2">
        <f>C111/D11/12</f>
        <v>0.54340057934029962</v>
      </c>
    </row>
    <row r="112" spans="1:4" ht="28.5">
      <c r="A112" s="43"/>
      <c r="B112" s="27" t="s">
        <v>5</v>
      </c>
      <c r="C112" s="2">
        <f>C111*0.302</f>
        <v>4074.4873600000001</v>
      </c>
      <c r="D112" s="2">
        <f>C112/D11/12</f>
        <v>0.16410697496077048</v>
      </c>
    </row>
    <row r="113" spans="1:4">
      <c r="A113" s="43"/>
      <c r="B113" s="24" t="s">
        <v>6</v>
      </c>
      <c r="C113" s="33">
        <f>148*8.19</f>
        <v>1212.1199999999999</v>
      </c>
      <c r="D113" s="2">
        <f>C113/D11/12</f>
        <v>4.8820214401020773E-2</v>
      </c>
    </row>
    <row r="114" spans="1:4">
      <c r="A114" s="43"/>
      <c r="B114" s="3" t="s">
        <v>7</v>
      </c>
      <c r="C114" s="13">
        <f>640*5</f>
        <v>3200</v>
      </c>
      <c r="D114" s="2">
        <f>C114/D11/12</f>
        <v>0.12888549490418974</v>
      </c>
    </row>
    <row r="115" spans="1:4">
      <c r="A115" s="43"/>
      <c r="B115" s="24" t="s">
        <v>8</v>
      </c>
      <c r="C115" s="2">
        <f>C111+C112+C113+C114</f>
        <v>21978.287359999998</v>
      </c>
      <c r="D115" s="2">
        <f>D111+D112+D113+D114</f>
        <v>0.88521326360628061</v>
      </c>
    </row>
    <row r="116" spans="1:4">
      <c r="A116" s="43"/>
      <c r="B116" s="3" t="s">
        <v>9</v>
      </c>
      <c r="C116" s="2">
        <f>C115*5/100</f>
        <v>1098.914368</v>
      </c>
      <c r="D116" s="2">
        <f>C116/D11/12</f>
        <v>4.4260663180314026E-2</v>
      </c>
    </row>
    <row r="117" spans="1:4">
      <c r="A117" s="43"/>
      <c r="B117" s="24" t="s">
        <v>8</v>
      </c>
      <c r="C117" s="2">
        <f>C115+C116</f>
        <v>23077.201728</v>
      </c>
      <c r="D117" s="2">
        <f>D115+D116</f>
        <v>0.92947392678659468</v>
      </c>
    </row>
    <row r="118" spans="1:4">
      <c r="A118" s="43"/>
      <c r="B118" s="24" t="s">
        <v>10</v>
      </c>
      <c r="C118" s="2">
        <f>C117*6/100</f>
        <v>1384.63210368</v>
      </c>
      <c r="D118" s="2">
        <f>C118/D11/12</f>
        <v>5.5768435607195681E-2</v>
      </c>
    </row>
    <row r="119" spans="1:4">
      <c r="A119" s="43"/>
      <c r="B119" s="24" t="s">
        <v>8</v>
      </c>
      <c r="C119" s="2">
        <f>C117+C118</f>
        <v>24461.83383168</v>
      </c>
      <c r="D119" s="2">
        <f>D117+D118</f>
        <v>0.98524236239379037</v>
      </c>
    </row>
    <row r="120" spans="1:4">
      <c r="A120" s="43"/>
      <c r="B120" s="5" t="s">
        <v>11</v>
      </c>
      <c r="C120" s="2">
        <f>C119*4/100</f>
        <v>978.47335326719997</v>
      </c>
      <c r="D120" s="2">
        <f>C120/D11/12</f>
        <v>3.9409694495751608E-2</v>
      </c>
    </row>
    <row r="121" spans="1:4">
      <c r="A121" s="43"/>
      <c r="B121" s="5" t="s">
        <v>8</v>
      </c>
      <c r="C121" s="2">
        <f>C119+C120</f>
        <v>25440.3071849472</v>
      </c>
      <c r="D121" s="2">
        <f>D119+D120</f>
        <v>1.0246520568895421</v>
      </c>
    </row>
    <row r="122" spans="1:4" ht="30.75" customHeight="1">
      <c r="A122" s="43" t="s">
        <v>62</v>
      </c>
      <c r="B122" s="24" t="s">
        <v>63</v>
      </c>
      <c r="C122" s="2">
        <f>C133</f>
        <v>72783.216883670859</v>
      </c>
      <c r="D122" s="2">
        <f>D133</f>
        <v>2.9314690402409052</v>
      </c>
    </row>
    <row r="123" spans="1:4">
      <c r="A123" s="43"/>
      <c r="B123" s="26" t="s">
        <v>4</v>
      </c>
      <c r="C123" s="13">
        <f>1503.2*29.52</f>
        <v>44374.464</v>
      </c>
      <c r="D123" s="2">
        <f>C123/D11/12</f>
        <v>1.7872577355462973</v>
      </c>
    </row>
    <row r="124" spans="1:4" ht="28.5">
      <c r="A124" s="43"/>
      <c r="B124" s="27" t="s">
        <v>5</v>
      </c>
      <c r="C124" s="2">
        <f>C123*0.302</f>
        <v>13401.088127999999</v>
      </c>
      <c r="D124" s="2">
        <f>C124/D11/12</f>
        <v>0.53975183613498179</v>
      </c>
    </row>
    <row r="125" spans="1:4">
      <c r="A125" s="43"/>
      <c r="B125" s="24" t="s">
        <v>6</v>
      </c>
      <c r="C125" s="13">
        <f>1503.2*1.91</f>
        <v>2871.1120000000001</v>
      </c>
      <c r="D125" s="2">
        <f>C125/D11/12</f>
        <v>0.11563896595167439</v>
      </c>
    </row>
    <row r="126" spans="1:4">
      <c r="A126" s="43"/>
      <c r="B126" s="3" t="s">
        <v>12</v>
      </c>
      <c r="C126" s="13">
        <f>(64000+12000)/51186.1*1503.2</f>
        <v>2231.9184309802858</v>
      </c>
      <c r="D126" s="2">
        <f>C126/D11/12</f>
        <v>8.9894347363336499E-2</v>
      </c>
    </row>
    <row r="127" spans="1:4">
      <c r="A127" s="43"/>
      <c r="B127" s="24" t="s">
        <v>8</v>
      </c>
      <c r="C127" s="2">
        <f>C123+C124+C125+C126</f>
        <v>62878.582558980284</v>
      </c>
      <c r="D127" s="2">
        <f>D123+D124+D125+D126</f>
        <v>2.5325428849962899</v>
      </c>
    </row>
    <row r="128" spans="1:4">
      <c r="A128" s="43"/>
      <c r="B128" s="3" t="s">
        <v>9</v>
      </c>
      <c r="C128" s="2">
        <f>C127*5/100</f>
        <v>3143.9291279490139</v>
      </c>
      <c r="D128" s="2">
        <f>C128/D11/12</f>
        <v>0.1266271442498145</v>
      </c>
    </row>
    <row r="129" spans="1:6">
      <c r="A129" s="43"/>
      <c r="B129" s="24" t="s">
        <v>8</v>
      </c>
      <c r="C129" s="2">
        <f>C127+C128</f>
        <v>66022.511686929298</v>
      </c>
      <c r="D129" s="2">
        <f>D127+D128</f>
        <v>2.6591700292461042</v>
      </c>
    </row>
    <row r="130" spans="1:6">
      <c r="A130" s="43"/>
      <c r="B130" s="24" t="s">
        <v>10</v>
      </c>
      <c r="C130" s="2">
        <f>C129*6/100</f>
        <v>3961.3507012157579</v>
      </c>
      <c r="D130" s="2">
        <f>C130/D11/12</f>
        <v>0.15955020175476628</v>
      </c>
    </row>
    <row r="131" spans="1:6">
      <c r="A131" s="43"/>
      <c r="B131" s="24" t="s">
        <v>8</v>
      </c>
      <c r="C131" s="2">
        <f>C129+C130</f>
        <v>69983.862388145062</v>
      </c>
      <c r="D131" s="2">
        <f>D129+D130</f>
        <v>2.8187202310008703</v>
      </c>
    </row>
    <row r="132" spans="1:6">
      <c r="A132" s="43"/>
      <c r="B132" s="5" t="s">
        <v>11</v>
      </c>
      <c r="C132" s="2">
        <f>C131*4/100</f>
        <v>2799.3544955258026</v>
      </c>
      <c r="D132" s="2">
        <f>C132/D11/12</f>
        <v>0.11274880924003483</v>
      </c>
    </row>
    <row r="133" spans="1:6">
      <c r="A133" s="43"/>
      <c r="B133" s="5" t="s">
        <v>8</v>
      </c>
      <c r="C133" s="2">
        <f>C131+C132</f>
        <v>72783.216883670859</v>
      </c>
      <c r="D133" s="2">
        <f>D131+D132</f>
        <v>2.9314690402409052</v>
      </c>
    </row>
    <row r="134" spans="1:6" ht="44.25" customHeight="1">
      <c r="A134" s="42" t="s">
        <v>64</v>
      </c>
      <c r="B134" s="5" t="s">
        <v>65</v>
      </c>
      <c r="C134" s="4">
        <f>C138+C146+C142</f>
        <v>630.05388800000003</v>
      </c>
      <c r="D134" s="4">
        <f>D138+D146+D142</f>
        <v>2.5376502240996541E-2</v>
      </c>
      <c r="F134" s="17"/>
    </row>
    <row r="135" spans="1:6">
      <c r="A135" s="43" t="s">
        <v>35</v>
      </c>
      <c r="B135" s="5" t="s">
        <v>112</v>
      </c>
      <c r="C135" s="46"/>
      <c r="D135" s="4"/>
    </row>
    <row r="136" spans="1:6">
      <c r="A136" s="43"/>
      <c r="B136" s="24" t="s">
        <v>10</v>
      </c>
      <c r="C136" s="2">
        <f>1297.19*6/100</f>
        <v>77.831400000000002</v>
      </c>
      <c r="D136" s="2">
        <f>C136/12/D11</f>
        <v>3.1347932837768604E-3</v>
      </c>
    </row>
    <row r="137" spans="1:6">
      <c r="A137" s="43"/>
      <c r="B137" s="5" t="s">
        <v>11</v>
      </c>
      <c r="C137" s="2">
        <f>(1297.19+C136)*4/100</f>
        <v>55.000856000000006</v>
      </c>
      <c r="D137" s="2">
        <f>C137/12/D11</f>
        <v>2.2152539205356485E-3</v>
      </c>
    </row>
    <row r="138" spans="1:6">
      <c r="A138" s="43"/>
      <c r="B138" s="5" t="s">
        <v>8</v>
      </c>
      <c r="C138" s="2">
        <f>C136+C137</f>
        <v>132.832256</v>
      </c>
      <c r="D138" s="2">
        <f>D136+D137</f>
        <v>5.3500472043125089E-3</v>
      </c>
    </row>
    <row r="139" spans="1:6">
      <c r="A139" s="55" t="s">
        <v>36</v>
      </c>
      <c r="B139" s="5" t="s">
        <v>113</v>
      </c>
      <c r="C139" s="46"/>
      <c r="D139" s="4"/>
    </row>
    <row r="140" spans="1:6">
      <c r="A140" s="55"/>
      <c r="B140" s="24" t="s">
        <v>10</v>
      </c>
      <c r="C140" s="2">
        <f>1148.72*6/100</f>
        <v>68.923199999999994</v>
      </c>
      <c r="D140" s="2">
        <f>C140/12/D11</f>
        <v>2.7760002319938909E-3</v>
      </c>
    </row>
    <row r="141" spans="1:6">
      <c r="A141" s="55"/>
      <c r="B141" s="5" t="s">
        <v>11</v>
      </c>
      <c r="C141" s="2">
        <f>(1148.72+C140)*4/100</f>
        <v>48.705728000000001</v>
      </c>
      <c r="D141" s="2">
        <f>C141/12/D11</f>
        <v>1.9617068306090162E-3</v>
      </c>
    </row>
    <row r="142" spans="1:6">
      <c r="A142" s="55"/>
      <c r="B142" s="5" t="s">
        <v>8</v>
      </c>
      <c r="C142" s="2">
        <f t="shared" ref="C142:D142" si="0">C140+C141</f>
        <v>117.628928</v>
      </c>
      <c r="D142" s="2">
        <f t="shared" si="0"/>
        <v>4.7377070626029071E-3</v>
      </c>
    </row>
    <row r="143" spans="1:6">
      <c r="A143" s="43" t="s">
        <v>42</v>
      </c>
      <c r="B143" s="5" t="s">
        <v>114</v>
      </c>
      <c r="C143" s="46"/>
      <c r="D143" s="4"/>
    </row>
    <row r="144" spans="1:6">
      <c r="A144" s="43"/>
      <c r="B144" s="24" t="s">
        <v>10</v>
      </c>
      <c r="C144" s="2">
        <f>3706.96*6/100</f>
        <v>222.41760000000002</v>
      </c>
      <c r="D144" s="2">
        <f>C144/12/D11</f>
        <v>8.95825076606316E-3</v>
      </c>
    </row>
    <row r="145" spans="1:5">
      <c r="A145" s="43"/>
      <c r="B145" s="5" t="s">
        <v>11</v>
      </c>
      <c r="C145" s="2">
        <f>(3706.96+C144)*4/100</f>
        <v>157.175104</v>
      </c>
      <c r="D145" s="2">
        <f>C145/12/D11</f>
        <v>6.3304972080179675E-3</v>
      </c>
    </row>
    <row r="146" spans="1:5">
      <c r="A146" s="43"/>
      <c r="B146" s="5" t="s">
        <v>8</v>
      </c>
      <c r="C146" s="2">
        <f t="shared" ref="C146:D146" si="1">C144+C145</f>
        <v>379.59270400000003</v>
      </c>
      <c r="D146" s="2">
        <f t="shared" si="1"/>
        <v>1.5288747974081127E-2</v>
      </c>
    </row>
    <row r="147" spans="1:5">
      <c r="A147" s="43"/>
      <c r="B147" s="6" t="s">
        <v>30</v>
      </c>
      <c r="C147" s="2">
        <f>C12+C47+C134</f>
        <v>485151.83160530537</v>
      </c>
      <c r="D147" s="2">
        <f>D12+D47+D134</f>
        <v>19.540323100038719</v>
      </c>
      <c r="E147" s="17"/>
    </row>
    <row r="148" spans="1:5" ht="28.5">
      <c r="A148" s="42" t="s">
        <v>66</v>
      </c>
      <c r="B148" s="24" t="s">
        <v>67</v>
      </c>
      <c r="C148" s="23">
        <v>55120</v>
      </c>
      <c r="D148" s="57">
        <v>2.2200000000000002</v>
      </c>
    </row>
    <row r="149" spans="1:5" hidden="1">
      <c r="A149" s="43"/>
      <c r="B149" s="6" t="s">
        <v>30</v>
      </c>
      <c r="C149" s="7"/>
      <c r="D149" s="7"/>
    </row>
    <row r="150" spans="1:5" hidden="1">
      <c r="A150" s="42" t="s">
        <v>72</v>
      </c>
      <c r="B150" s="3" t="s">
        <v>73</v>
      </c>
      <c r="C150" s="2">
        <v>0</v>
      </c>
      <c r="D150" s="2">
        <v>0</v>
      </c>
    </row>
    <row r="151" spans="1:5">
      <c r="A151" s="43"/>
      <c r="B151" s="41" t="s">
        <v>71</v>
      </c>
      <c r="C151" s="2">
        <f>C147+C148</f>
        <v>540271.83160530543</v>
      </c>
      <c r="D151" s="2">
        <f>D147+D148</f>
        <v>21.760323100038718</v>
      </c>
    </row>
    <row r="152" spans="1:5" ht="33" customHeight="1">
      <c r="A152" s="42" t="s">
        <v>72</v>
      </c>
      <c r="B152" s="24" t="s">
        <v>98</v>
      </c>
      <c r="C152" s="23">
        <v>65000</v>
      </c>
      <c r="D152" s="57">
        <v>2.62</v>
      </c>
    </row>
    <row r="153" spans="1:5">
      <c r="B153" s="8"/>
      <c r="C153" s="15"/>
      <c r="D153" s="8"/>
    </row>
    <row r="154" spans="1:5">
      <c r="B154" s="9" t="s">
        <v>75</v>
      </c>
      <c r="C154" s="16"/>
      <c r="D154" s="10"/>
    </row>
    <row r="155" spans="1:5" ht="15.75">
      <c r="B155" s="30" t="s">
        <v>47</v>
      </c>
      <c r="C155" s="31"/>
      <c r="D155" s="30"/>
    </row>
    <row r="156" spans="1:5" ht="15.75">
      <c r="B156" s="30"/>
      <c r="C156" s="31"/>
      <c r="D156" s="30"/>
    </row>
    <row r="157" spans="1:5">
      <c r="B157" s="72" t="s">
        <v>31</v>
      </c>
      <c r="C157" s="72"/>
      <c r="D157" s="72"/>
    </row>
    <row r="158" spans="1:5" ht="15.75">
      <c r="B158" s="30"/>
      <c r="C158" s="31"/>
      <c r="D158" s="30"/>
    </row>
  </sheetData>
  <mergeCells count="11">
    <mergeCell ref="A9:A10"/>
    <mergeCell ref="B9:B10"/>
    <mergeCell ref="C9:C10"/>
    <mergeCell ref="D9:D10"/>
    <mergeCell ref="B157:D157"/>
    <mergeCell ref="B7:D7"/>
    <mergeCell ref="C1:D1"/>
    <mergeCell ref="C2:D2"/>
    <mergeCell ref="C3:D3"/>
    <mergeCell ref="C4:D4"/>
    <mergeCell ref="B6:D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Д1-А</vt:lpstr>
      <vt:lpstr>Д5-1</vt:lpstr>
      <vt:lpstr>Д22</vt:lpstr>
      <vt:lpstr>Л11</vt:lpstr>
      <vt:lpstr>Л12</vt:lpstr>
      <vt:lpstr>Л13-А</vt:lpstr>
      <vt:lpstr>Л14</vt:lpstr>
      <vt:lpstr>Л15-2</vt:lpstr>
      <vt:lpstr>Л16</vt:lpstr>
      <vt:lpstr>Л23</vt:lpstr>
      <vt:lpstr>Пр16</vt:lpstr>
      <vt:lpstr>С83</vt:lpstr>
      <vt:lpstr>С83-А </vt:lpstr>
      <vt:lpstr>С85</vt:lpstr>
      <vt:lpstr>С108</vt:lpstr>
      <vt:lpstr>С110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2018-06-29T06:34:06Z</dcterms:modified>
</cp:coreProperties>
</file>